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ld/44EbBv81KUQNOZdMfVYOGy/dk8Omg1mQEqGsHH8igMf9SbCCCg4xs45lwBzOLbtcpFtz1/qf+8t++oqAAA==" workbookSaltValue="wYrMJ6H4Ngi7DCKEjLpE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9" i="2"/>
  <c r="M13" i="2"/>
  <c r="N13" i="2"/>
  <c r="AL11" i="11"/>
  <c r="AO9" i="11"/>
  <c r="E11" i="6"/>
  <c r="AC10" i="11"/>
  <c r="H13" i="12"/>
  <c r="T19" i="8"/>
  <c r="AJ19" i="8"/>
  <c r="T13" i="12"/>
  <c r="S19" i="8"/>
  <c r="BF15" i="8"/>
  <c r="AZ18" i="13"/>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F17" i="17"/>
  <c r="AQ17" i="17" s="1"/>
  <c r="E18" i="2"/>
  <c r="AO17" i="11"/>
  <c r="Y19" i="8"/>
  <c r="L16" i="14"/>
  <c r="BG16" i="8"/>
  <c r="K16" i="7" s="1"/>
  <c r="AW18" i="21"/>
  <c r="G16" i="3"/>
  <c r="AB19" i="8"/>
  <c r="Z19" i="8"/>
  <c r="BG12" i="8"/>
  <c r="BE12" i="8"/>
  <c r="BD12" i="8"/>
  <c r="BG10" i="8"/>
  <c r="H12" i="7"/>
  <c r="C11" i="6"/>
  <c r="I11" i="12" s="1"/>
  <c r="AO16" i="11"/>
  <c r="AL10" i="11"/>
  <c r="B12" i="6"/>
  <c r="L12" i="14"/>
  <c r="B17" i="6"/>
  <c r="C17" i="6"/>
  <c r="M18" i="2"/>
  <c r="N18" i="2"/>
  <c r="N19" i="2" s="1"/>
  <c r="F15" i="11"/>
  <c r="BE12" i="13"/>
  <c r="F16" i="17"/>
  <c r="BG16" i="13"/>
  <c r="BD16" i="13"/>
  <c r="BE16" i="13"/>
  <c r="H15" i="2"/>
  <c r="E15" i="6"/>
  <c r="K15" i="12" s="1"/>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D19" i="12"/>
  <c r="K16" i="12"/>
  <c r="I12" i="12"/>
  <c r="BE13" i="13"/>
  <c r="BG13" i="13"/>
  <c r="Y13" i="11"/>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<sst xmlns="http://schemas.openxmlformats.org/spreadsheetml/2006/main" count="2102" uniqueCount="918">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</sst>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s6gTO2KTcdZqVRM+d7WAf/uZKMffGiZDrkK6ZKAOLB/UnRpsC89Ol/znKVXTFqOwMshSS2MwyxETaGWvKW8ig==" saltValue="CJXn3F/MsSnFVbEF0SsO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31</v>
      </c>
      <c r="E10" s="225">
        <f>IF(ISNUMBER(Datos!J10),Datos!J10," - ")</f>
        <v>10</v>
      </c>
      <c r="F10" s="225">
        <f>IF(ISNUMBER(Datos!K10),Datos!K10," - ")</f>
        <v>6</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0.12903225806451613</v>
      </c>
      <c r="L10" s="1024">
        <f>IF(ISNUMBER(NºAsuntos!I10/NºAsuntos!G10),(NºAsuntos!I10/NºAsuntos!G10)*11," - ")</f>
        <v>64.166666666666657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33.050458715596328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31</v>
      </c>
      <c r="E13" s="1049">
        <f>SUBTOTAL(9,E9:E12)</f>
        <v>10</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1353</v>
      </c>
      <c r="D16" s="224">
        <f>IF(ISNUMBER(IF(D_I="SI",Datos!I16,Datos!I16+Datos!AC16)),IF(D_I="SI",Datos!I16,Datos!I16+Datos!AC16)," - ")</f>
        <v>1350</v>
      </c>
      <c r="E16" s="225">
        <f>IF(ISNUMBER(IF(D_I="SI",Datos!J16,Datos!J16+Datos!AD16)),IF(D_I="SI",Datos!J16,Datos!J16+Datos!AD16)," - ")</f>
        <v>738</v>
      </c>
      <c r="F16" s="225">
        <f>IF(ISNUMBER(IF(D_I="SI",Datos!K16,Datos!K16+Datos!AE16)),IF(D_I="SI",Datos!K16,Datos!K16+Datos!AE16)," - ")</f>
        <v>677</v>
      </c>
      <c r="G16" s="1033" t="str">
        <f>IF(Datos!E16&lt;&gt;"",Datos!E16,Datos!D16)</f>
        <v>04</v>
      </c>
      <c r="H16" s="226">
        <f>IF(ISNUMBER(IF(D_I="SI",Datos!L16,Datos!L16+Datos!AF16)),IF(D_I="SI",Datos!L16,Datos!L16+Datos!AF16)," - ")</f>
        <v>1414</v>
      </c>
      <c r="I16" s="1043" t="str">
        <f>IF(ISNUMBER(Datos!AS16/Datos!BM16),Datos!AS16/Datos!BM16," - ")</f>
        <v xml:space="preserve"> - </v>
      </c>
      <c r="J16" s="1044">
        <f>IF(ISNUMBER(Datos!BY16/Datos!CN16),Datos!BY16/Datos!CN16," - ")</f>
        <v>0</v>
      </c>
      <c r="K16" s="229">
        <f t="shared" si="3"/>
        <v>4.5084996304508497E-2</v>
      </c>
      <c r="L16" s="1024">
        <f>IF(ISNUMBER(NºAsuntos!I16/NºAsuntos!G16),(NºAsuntos!I16/NºAsuntos!G16)*11," - ")</f>
        <v>22.974889217134418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68</v>
      </c>
      <c r="D17" s="224">
        <f>IF(ISNUMBER(IF(D_I="SI",Datos!I17,Datos!I17+Datos!AC17)),IF(D_I="SI",Datos!I17,Datos!I17+Datos!AC17)," - ")</f>
        <v>68</v>
      </c>
      <c r="E17" s="225">
        <f>IF(ISNUMBER(IF(D_I="SI",Datos!J17,Datos!J17+Datos!AD17)),IF(D_I="SI",Datos!J17,Datos!J17+Datos!AD17)," - ")</f>
        <v>68</v>
      </c>
      <c r="F17" s="225">
        <f>IF(ISNUMBER(IF(D_I="SI",Datos!K17,Datos!K17+Datos!AE17)),IF(D_I="SI",Datos!K17,Datos!K17+Datos!AE17)," - ")</f>
        <v>59</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0.13235294117647059</v>
      </c>
      <c r="L17" s="1024">
        <f>IF(ISNUMBER(NºAsuntos!I17/NºAsuntos!G17),(NºAsuntos!I17/NºAsuntos!G17)*11," - ")</f>
        <v>14.35593220338983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1421</v>
      </c>
      <c r="D18" s="1048">
        <f>SUBTOTAL(9,D15:D17)</f>
        <v>1418</v>
      </c>
      <c r="E18" s="1049">
        <f>SUBTOTAL(9,E15:E17)</f>
        <v>806</v>
      </c>
      <c r="F18" s="1049">
        <f>SUBTOTAL(9,F15:F17)</f>
        <v>736</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1452</v>
      </c>
      <c r="D19" s="1070">
        <f>SUBTOTAL(9,D9:D18)</f>
        <v>1449</v>
      </c>
      <c r="E19" s="1071">
        <f>SUBTOTAL(9,E9:E18)</f>
        <v>816</v>
      </c>
      <c r="F19" s="1071">
        <f>SUBTOTAL(9,F9:F18)</f>
        <v>742</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1HhH+2qmB9WUCZ44CdQIIFWapAcPJPjDaLweloSH7UMp5ZU2wuhVQDOyOXJmjJFB+uSNCHBV21XZW5UTxbOqQ==" saltValue="bGbixRBmbKwgdwZ69sSI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xqLJTr9FuhW1la6+paeFJyLP3YrqZZSxWQT3iqdyBhi+EmGiuRkT4X6vujg+NtkTLetTc8JnoXFlgHKrkG4bg==" saltValue="40QpXUs/oiIkGX5SXI+h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31</v>
      </c>
      <c r="J10" s="180">
        <v>10</v>
      </c>
      <c r="K10" s="180">
        <v>6</v>
      </c>
      <c r="L10" s="180">
        <v>35</v>
      </c>
      <c r="M10" s="180">
        <v>1</v>
      </c>
      <c r="N10" s="180">
        <v>5</v>
      </c>
      <c r="O10" s="180">
        <v>1</v>
      </c>
      <c r="P10" s="180">
        <v>1</v>
      </c>
      <c r="Q10" s="180">
        <v>1</v>
      </c>
      <c r="R10" s="180">
        <v>21</v>
      </c>
      <c r="S10" s="180">
        <v>32</v>
      </c>
      <c r="T10" s="180">
        <v>6</v>
      </c>
      <c r="U10" s="180">
        <v>10</v>
      </c>
      <c r="V10" s="180">
        <v>28</v>
      </c>
      <c r="W10" s="180">
        <v>4</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6</v>
      </c>
      <c r="BA10" s="129">
        <f t="shared" si="0"/>
        <v>10</v>
      </c>
      <c r="BB10" s="129">
        <f t="shared" si="0"/>
        <v>28</v>
      </c>
      <c r="BC10" s="125">
        <f t="shared" si="0"/>
        <v>4</v>
      </c>
      <c r="BD10" s="126">
        <f>IF(ISNUMBER(BA10/AZ10),BA10/AZ10," - ")</f>
        <v>1.6666666666666667</v>
      </c>
      <c r="BE10" s="127">
        <f>IF(ISNUMBER(BB10/BA10),BB10/BA10, " - ")</f>
        <v>2.8</v>
      </c>
      <c r="BF10" s="127">
        <f>IF(ISNUMBER(BC10/BA10),BC10/BA10, " - ")</f>
        <v>0.4</v>
      </c>
      <c r="BG10" s="195">
        <f>IF(ISNUMBER((AY10+AZ10)/BA10),(AY10+AZ10)/BA10," - ")</f>
        <v>3.8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1996</v>
      </c>
      <c r="J12" s="182">
        <v>558</v>
      </c>
      <c r="K12" s="182">
        <v>618</v>
      </c>
      <c r="L12" s="182">
        <v>1936</v>
      </c>
      <c r="M12" s="182">
        <v>117</v>
      </c>
      <c r="N12" s="182">
        <v>285</v>
      </c>
      <c r="O12" s="180">
        <v>345</v>
      </c>
      <c r="P12" s="182">
        <v>364</v>
      </c>
      <c r="Q12" s="182">
        <v>591</v>
      </c>
      <c r="R12" s="182">
        <v>3190</v>
      </c>
      <c r="S12" s="182">
        <v>2470</v>
      </c>
      <c r="T12" s="182">
        <v>829</v>
      </c>
      <c r="U12" s="182">
        <v>813</v>
      </c>
      <c r="V12" s="182">
        <v>2432</v>
      </c>
      <c r="W12" s="182">
        <v>208</v>
      </c>
      <c r="X12" s="188">
        <v>328</v>
      </c>
      <c r="Y12" s="190">
        <v>33</v>
      </c>
      <c r="Z12" s="180">
        <v>32</v>
      </c>
      <c r="AA12" s="180">
        <v>36</v>
      </c>
      <c r="AB12" s="180">
        <v>29</v>
      </c>
      <c r="AC12" s="182">
        <v>0</v>
      </c>
      <c r="AD12" s="182">
        <v>0</v>
      </c>
      <c r="AE12" s="182">
        <v>0</v>
      </c>
      <c r="AF12" s="188">
        <v>0</v>
      </c>
      <c r="AG12" s="201">
        <v>16</v>
      </c>
      <c r="AH12" s="182">
        <v>29</v>
      </c>
      <c r="AI12" s="182">
        <v>28</v>
      </c>
      <c r="AJ12" s="202">
        <v>17</v>
      </c>
      <c r="AK12" s="181">
        <v>0</v>
      </c>
      <c r="AL12" s="182">
        <v>0</v>
      </c>
      <c r="AM12" s="182">
        <v>0</v>
      </c>
      <c r="AN12" s="188">
        <v>0</v>
      </c>
      <c r="AO12" s="258">
        <v>3</v>
      </c>
      <c r="AP12" s="154">
        <v>3</v>
      </c>
      <c r="AQ12" s="154">
        <v>3</v>
      </c>
      <c r="AR12" s="153">
        <v>3</v>
      </c>
      <c r="AS12" s="339" t="s">
        <v>794</v>
      </c>
      <c r="AT12" s="202"/>
      <c r="AU12" s="201"/>
      <c r="AV12" s="202"/>
      <c r="AW12" s="201"/>
      <c r="AX12" s="202"/>
      <c r="AY12" s="126">
        <f t="shared" si="1"/>
        <v>2486</v>
      </c>
      <c r="AZ12" s="127">
        <f t="shared" si="1"/>
        <v>858</v>
      </c>
      <c r="BA12" s="127">
        <f t="shared" si="1"/>
        <v>841</v>
      </c>
      <c r="BB12" s="127">
        <f t="shared" si="1"/>
        <v>2449</v>
      </c>
      <c r="BC12" s="125">
        <f>IF(ISNUMBER(X12),X12," - ")</f>
        <v>328</v>
      </c>
      <c r="BD12" s="126">
        <f t="shared" si="2"/>
        <v>0.98018648018648014</v>
      </c>
      <c r="BE12" s="127">
        <f t="shared" si="3"/>
        <v>2.9120095124851368</v>
      </c>
      <c r="BF12" s="127">
        <f t="shared" si="4"/>
        <v>0.39001189060642094</v>
      </c>
      <c r="BG12" s="195">
        <f t="shared" si="5"/>
        <v>3.9762187871581451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2027</v>
      </c>
      <c r="J13" s="183">
        <f t="shared" si="6"/>
        <v>568</v>
      </c>
      <c r="K13" s="183">
        <f t="shared" si="6"/>
        <v>624</v>
      </c>
      <c r="L13" s="183">
        <f t="shared" si="6"/>
        <v>1971</v>
      </c>
      <c r="M13" s="183">
        <f t="shared" si="6"/>
        <v>118</v>
      </c>
      <c r="N13" s="183">
        <f t="shared" si="6"/>
        <v>290</v>
      </c>
      <c r="O13" s="183">
        <f t="shared" si="6"/>
        <v>346</v>
      </c>
      <c r="P13" s="183">
        <f t="shared" si="6"/>
        <v>365</v>
      </c>
      <c r="Q13" s="183">
        <f t="shared" si="6"/>
        <v>592</v>
      </c>
      <c r="R13" s="183">
        <f t="shared" si="6"/>
        <v>3211</v>
      </c>
      <c r="S13" s="183">
        <f t="shared" si="6"/>
        <v>2502</v>
      </c>
      <c r="T13" s="183">
        <f t="shared" si="6"/>
        <v>835</v>
      </c>
      <c r="U13" s="183">
        <f t="shared" si="6"/>
        <v>823</v>
      </c>
      <c r="V13" s="183">
        <f t="shared" si="6"/>
        <v>2460</v>
      </c>
      <c r="W13" s="183">
        <f t="shared" si="6"/>
        <v>212</v>
      </c>
      <c r="X13" s="183">
        <f t="shared" si="6"/>
        <v>334</v>
      </c>
      <c r="Y13" s="183">
        <f t="shared" si="6"/>
        <v>33</v>
      </c>
      <c r="Z13" s="183">
        <f t="shared" si="6"/>
        <v>32</v>
      </c>
      <c r="AA13" s="183">
        <f t="shared" si="6"/>
        <v>36</v>
      </c>
      <c r="AB13" s="183">
        <f t="shared" si="6"/>
        <v>29</v>
      </c>
      <c r="AC13" s="183">
        <f t="shared" si="6"/>
        <v>0</v>
      </c>
      <c r="AD13" s="183">
        <f t="shared" si="6"/>
        <v>0</v>
      </c>
      <c r="AE13" s="183">
        <f t="shared" si="6"/>
        <v>0</v>
      </c>
      <c r="AF13" s="183">
        <f>SUBTOTAL(9,AF9:AF12)</f>
        <v>0</v>
      </c>
      <c r="AG13" s="183">
        <f t="shared" ref="AG13:AT13" si="7">SUBTOTAL(9,AG8:AG12)</f>
        <v>16</v>
      </c>
      <c r="AH13" s="183">
        <f t="shared" si="7"/>
        <v>29</v>
      </c>
      <c r="AI13" s="183">
        <f t="shared" si="7"/>
        <v>28</v>
      </c>
      <c r="AJ13" s="183">
        <f t="shared" si="7"/>
        <v>17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2518</v>
      </c>
      <c r="AZ13" s="183">
        <f>SUBTOTAL(9,AZ8:AZ12)</f>
        <v>864</v>
      </c>
      <c r="BA13" s="183">
        <f>SUBTOTAL(9,BA8:BA12)</f>
        <v>851</v>
      </c>
      <c r="BB13" s="183">
        <f>SUBTOTAL(9,BB8:BB12)</f>
        <v>2477</v>
      </c>
      <c r="BC13" s="183">
        <f>SUBTOTAL(9,BC8:BC12)</f>
        <v>332</v>
      </c>
      <c r="BD13" s="204">
        <f>IF(ISNUMBER(BA13/AZ13),BA13/AZ13," - ")</f>
        <v>0.98495370370370372</v>
      </c>
      <c r="BE13" s="205">
        <f>IF(ISNUMBER(BB13/BA13),BB13/BA13, " - ")</f>
        <v>2.9106933019976498</v>
      </c>
      <c r="BF13" s="205">
        <f>IF(ISNUMBER(BC13/BA13),BC13/BA13, " - ")</f>
        <v>0.39012925969447709</v>
      </c>
      <c r="BG13" s="206">
        <f>IF(ISNUMBER((AY13+AZ13)/BA13),(AY13+AZ13)/BA13," - ")</f>
        <v>3.9741480611045827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1350</v>
      </c>
      <c r="J16" s="182">
        <v>738</v>
      </c>
      <c r="K16" s="182">
        <v>677</v>
      </c>
      <c r="L16" s="182">
        <v>1414</v>
      </c>
      <c r="M16" s="182">
        <v>70</v>
      </c>
      <c r="N16" s="182">
        <v>494</v>
      </c>
      <c r="O16" s="180">
        <v>2</v>
      </c>
      <c r="P16" s="182">
        <v>16</v>
      </c>
      <c r="Q16" s="182">
        <v>33</v>
      </c>
      <c r="R16" s="182">
        <v>94</v>
      </c>
      <c r="S16" s="182">
        <v>1361</v>
      </c>
      <c r="T16" s="182">
        <v>700</v>
      </c>
      <c r="U16" s="182">
        <v>785</v>
      </c>
      <c r="V16" s="182">
        <v>1289</v>
      </c>
      <c r="W16" s="182">
        <v>144</v>
      </c>
      <c r="X16" s="188">
        <v>488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1361</v>
      </c>
      <c r="AZ16" s="127">
        <f t="shared" si="9"/>
        <v>700</v>
      </c>
      <c r="BA16" s="127">
        <f t="shared" si="9"/>
        <v>785</v>
      </c>
      <c r="BB16" s="127">
        <f t="shared" si="9"/>
        <v>1289</v>
      </c>
      <c r="BC16" s="125">
        <f>IF(ISNUMBER(W16),W16," - ")</f>
        <v>144</v>
      </c>
      <c r="BD16" s="126">
        <f t="shared" ref="BD16" si="11">IF(ISNUMBER(BA16/AZ16),BA16/AZ16," - ")</f>
        <v>1.1214285714285714</v>
      </c>
      <c r="BE16" s="127">
        <f t="shared" ref="BE16" si="12">IF(ISNUMBER(BB16/BA16),BB16/BA16, " - ")</f>
        <v>1.6420382165605096</v>
      </c>
      <c r="BF16" s="127">
        <f t="shared" ref="BF16" si="13">IF(ISNUMBER(BC16/BA16),BC16/BA16, " - ")</f>
        <v>0.18343949044585986</v>
      </c>
      <c r="BG16" s="195">
        <f t="shared" si="10"/>
        <v>2.6254777070063695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68</v>
      </c>
      <c r="J17" s="182">
        <v>68</v>
      </c>
      <c r="K17" s="182">
        <v>59</v>
      </c>
      <c r="L17" s="182">
        <v>77</v>
      </c>
      <c r="M17" s="182">
        <v>2</v>
      </c>
      <c r="N17" s="182">
        <v>46</v>
      </c>
      <c r="O17" s="182">
        <v>0</v>
      </c>
      <c r="P17" s="182">
        <v>0</v>
      </c>
      <c r="Q17" s="182">
        <v>0</v>
      </c>
      <c r="R17" s="182">
        <v>3</v>
      </c>
      <c r="S17" s="182">
        <v>64</v>
      </c>
      <c r="T17" s="182">
        <v>68</v>
      </c>
      <c r="U17" s="182">
        <v>63</v>
      </c>
      <c r="V17" s="182">
        <v>73</v>
      </c>
      <c r="W17" s="182">
        <v>4</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68</v>
      </c>
      <c r="BA17" s="129">
        <f t="shared" si="14"/>
        <v>63</v>
      </c>
      <c r="BB17" s="129">
        <f t="shared" si="14"/>
        <v>73</v>
      </c>
      <c r="BC17" s="125">
        <f>IF(ISNUMBER(W17),W17," - ")</f>
        <v>4</v>
      </c>
      <c r="BD17" s="126">
        <f>IF(ISNUMBER(BA17/AZ17),BA17/AZ17," - ")</f>
        <v>0.92647058823529416</v>
      </c>
      <c r="BE17" s="127">
        <f>IF(ISNUMBER(BB17/BA17),BB17/BA17, " - ")</f>
        <v>1.1587301587301588</v>
      </c>
      <c r="BF17" s="127">
        <f>IF(ISNUMBER(BC17/BA17),BC17/BA17, " - ")</f>
        <v>6.3492063492063489E-2</v>
      </c>
      <c r="BG17" s="195">
        <f>IF(ISNUMBER((AY17+AZ17)/BA17),(AY17+AZ17)/BA17," - ")</f>
        <v>2.0952380952380953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1418</v>
      </c>
      <c r="J18" s="183">
        <f t="shared" si="15"/>
        <v>806</v>
      </c>
      <c r="K18" s="183">
        <f t="shared" si="15"/>
        <v>736</v>
      </c>
      <c r="L18" s="183">
        <f t="shared" si="15"/>
        <v>1491</v>
      </c>
      <c r="M18" s="183">
        <f t="shared" si="15"/>
        <v>72</v>
      </c>
      <c r="N18" s="183">
        <f t="shared" si="15"/>
        <v>540</v>
      </c>
      <c r="O18" s="183">
        <f t="shared" si="15"/>
        <v>2</v>
      </c>
      <c r="P18" s="183">
        <f t="shared" si="15"/>
        <v>16</v>
      </c>
      <c r="Q18" s="183">
        <f t="shared" si="15"/>
        <v>33</v>
      </c>
      <c r="R18" s="183">
        <f t="shared" si="15"/>
        <v>97</v>
      </c>
      <c r="S18" s="183">
        <f t="shared" si="15"/>
        <v>1425</v>
      </c>
      <c r="T18" s="183">
        <f t="shared" si="15"/>
        <v>768</v>
      </c>
      <c r="U18" s="183">
        <f t="shared" si="15"/>
        <v>848</v>
      </c>
      <c r="V18" s="183">
        <f t="shared" si="15"/>
        <v>1362</v>
      </c>
      <c r="W18" s="183">
        <f t="shared" si="15"/>
        <v>148</v>
      </c>
      <c r="X18" s="183">
        <f t="shared" si="15"/>
        <v>527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1425</v>
      </c>
      <c r="AZ18" s="183">
        <f>SUBTOTAL(9,AZ14:AZ17)</f>
        <v>768</v>
      </c>
      <c r="BA18" s="183">
        <f>SUBTOTAL(9,BA14:BA17)</f>
        <v>848</v>
      </c>
      <c r="BB18" s="183">
        <f>SUBTOTAL(9,BB14:BB17)</f>
        <v>1362</v>
      </c>
      <c r="BC18" s="183">
        <f>SUBTOTAL(9,BC14:BC17)</f>
        <v>148</v>
      </c>
      <c r="BD18" s="204">
        <f>IF(ISNUMBER(BA18/AZ18),BA18/AZ18," - ")</f>
        <v>1.1041666666666667</v>
      </c>
      <c r="BE18" s="205">
        <f>IF(ISNUMBER(BB18/BA18),BB18/BA18, " - ")</f>
        <v>1.6061320754716981</v>
      </c>
      <c r="BF18" s="205">
        <f>IF(ISNUMBER(BC18/BA18),BC18/BA18, " - ")</f>
        <v>0.17452830188679244</v>
      </c>
      <c r="BG18" s="206">
        <f>IF(ISNUMBER((AY18+AZ18)/BA18),(AY18+AZ18)/BA18," - ")</f>
        <v>2.5860849056603774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3445</v>
      </c>
      <c r="J19" s="134">
        <f t="shared" si="18"/>
        <v>1374</v>
      </c>
      <c r="K19" s="134">
        <f t="shared" si="18"/>
        <v>1360</v>
      </c>
      <c r="L19" s="134">
        <f t="shared" si="18"/>
        <v>3462</v>
      </c>
      <c r="M19" s="134">
        <f t="shared" si="18"/>
        <v>190</v>
      </c>
      <c r="N19" s="134">
        <f t="shared" si="18"/>
        <v>830</v>
      </c>
      <c r="O19" s="134">
        <f t="shared" si="18"/>
        <v>348</v>
      </c>
      <c r="P19" s="134">
        <f t="shared" si="18"/>
        <v>381</v>
      </c>
      <c r="Q19" s="134">
        <f t="shared" si="18"/>
        <v>625</v>
      </c>
      <c r="R19" s="134">
        <f t="shared" si="18"/>
        <v>3308</v>
      </c>
      <c r="S19" s="134">
        <f t="shared" si="18"/>
        <v>3927</v>
      </c>
      <c r="T19" s="134">
        <f t="shared" si="18"/>
        <v>1603</v>
      </c>
      <c r="U19" s="134">
        <f t="shared" si="18"/>
        <v>1671</v>
      </c>
      <c r="V19" s="134">
        <f t="shared" si="18"/>
        <v>3822</v>
      </c>
      <c r="W19" s="134">
        <f t="shared" si="18"/>
        <v>360</v>
      </c>
      <c r="X19" s="134">
        <f t="shared" si="18"/>
        <v>861</v>
      </c>
      <c r="Y19" s="134">
        <f t="shared" si="18"/>
        <v>33</v>
      </c>
      <c r="Z19" s="134">
        <f t="shared" si="18"/>
        <v>32</v>
      </c>
      <c r="AA19" s="134">
        <f t="shared" si="18"/>
        <v>36</v>
      </c>
      <c r="AB19" s="134">
        <f t="shared" si="18"/>
        <v>29</v>
      </c>
      <c r="AC19" s="134">
        <f t="shared" si="18"/>
        <v>0</v>
      </c>
      <c r="AD19" s="134">
        <f t="shared" si="18"/>
        <v>0</v>
      </c>
      <c r="AE19" s="134">
        <f t="shared" si="18"/>
        <v>0</v>
      </c>
      <c r="AF19" s="134">
        <f t="shared" si="18"/>
        <v>0</v>
      </c>
      <c r="AG19" s="134">
        <f t="shared" si="18"/>
        <v>16</v>
      </c>
      <c r="AH19" s="134">
        <f t="shared" si="18"/>
        <v>29</v>
      </c>
      <c r="AI19" s="134">
        <f t="shared" si="18"/>
        <v>28</v>
      </c>
      <c r="AJ19" s="134">
        <f t="shared" si="18"/>
        <v>17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3943</v>
      </c>
      <c r="AZ19" s="134">
        <f>SUBTOTAL(9,AZ9:AZ18)</f>
        <v>1632</v>
      </c>
      <c r="BA19" s="134">
        <f>SUBTOTAL(9,BA9:BA18)</f>
        <v>1699</v>
      </c>
      <c r="BB19" s="134">
        <f>SUBTOTAL(9,BB9:BB18)</f>
        <v>3839</v>
      </c>
      <c r="BC19" s="135">
        <f>SUBTOTAL(9,BC9:BC18)</f>
        <v>480</v>
      </c>
      <c r="BD19" s="212">
        <f>IF(ISNUMBER(BA19/AZ19),BA19/AZ19," - ")</f>
        <v>1.0410539215686274</v>
      </c>
      <c r="BE19" s="209">
        <f>IF(ISNUMBER(BB19/BA19),BB19/BA19, " - ")</f>
        <v>2.2595644496762803</v>
      </c>
      <c r="BF19" s="209">
        <f>IF(ISNUMBER(BC19/BA19),BC19/BA19, " - ")</f>
        <v>0.28251912889935255</v>
      </c>
      <c r="BG19" s="135">
        <f>IF(ISNUMBER((AY19+AZ19)/BA19),(AY19+AZ19)/BA19," - ")</f>
        <v>3.2813419658622718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QPfldyE21fc0UdTWT1QMb2q7uLAl99Q0Nnb8TyaBeRKAocWpEVNcFc3hcf3ST05XUttzhKJeYI4ZpPrPf0Og==" saltValue="JsTsBarDzWYB6NqIwW3km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J9X25GlJJThsBEU5y3iBr5Xzno5jhNasfjAcpcsyAh7LbNNOvwwDpMmKocqTcCARsVFNnMNPykOJhDrLXBNOg==" saltValue="rZGXslsc7vUQwSSnxiPQ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1</v>
      </c>
      <c r="AD10" s="333"/>
      <c r="AE10" s="483"/>
      <c r="AF10" s="331">
        <f>IF(ISNUMBER(Datos!L10),Datos!L10,"-")</f>
        <v>35</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5</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17.499999999999996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364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3190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117</v>
      </c>
      <c r="BD12" s="228">
        <f>IF(ISNUMBER(Datos!N12),Datos!N12," - ")</f>
        <v>285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1.1084745762711865</v>
      </c>
      <c r="BH12" s="259">
        <f>IF(ISNUMBER(((IF(J_V="SI",Datos!L12/Datos!K12,(Datos!L12+Datos!AB12)/(Datos!K12+Datos!AA12)))*11)/factor_trimestre),((IF(J_V="SI",Datos!L12/Datos!K12,(Datos!L12+Datos!AB12)/(Datos!K12+Datos!AA12)))*11)/factor_trimestre," - ")</f>
        <v>9.0137614678899087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-6.6432543166520336E-2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31</v>
      </c>
      <c r="G13" s="897">
        <f t="shared" si="0"/>
        <v>31</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365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592</v>
      </c>
      <c r="AD13" s="898">
        <f t="shared" si="1"/>
        <v>0</v>
      </c>
      <c r="AE13" s="898">
        <f t="shared" si="1"/>
        <v>0</v>
      </c>
      <c r="AF13" s="898">
        <f t="shared" si="1"/>
        <v>35</v>
      </c>
      <c r="AG13" s="898">
        <f t="shared" si="1"/>
        <v>0</v>
      </c>
      <c r="AH13" s="898">
        <f t="shared" si="1"/>
        <v>29</v>
      </c>
      <c r="AI13" s="898">
        <f t="shared" si="1"/>
        <v>0</v>
      </c>
      <c r="AJ13" s="898">
        <f t="shared" si="1"/>
        <v>0</v>
      </c>
      <c r="AK13" s="898">
        <f t="shared" si="1"/>
        <v>0</v>
      </c>
      <c r="AL13" s="898">
        <f t="shared" si="1"/>
        <v>0</v>
      </c>
      <c r="AM13" s="898">
        <f t="shared" si="1"/>
        <v>3211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118</v>
      </c>
      <c r="BD13" s="898">
        <f t="shared" si="1"/>
        <v>290</v>
      </c>
      <c r="BE13" s="898">
        <f t="shared" si="1"/>
        <v>0</v>
      </c>
      <c r="BF13" s="898">
        <f t="shared" si="1"/>
        <v>0</v>
      </c>
      <c r="BG13" s="898">
        <f>IF(ISNUMBER(Datos!K13/Datos!J13),Datos!K13/Datos!J13," - ")</f>
        <v>1.0985915492957747</v>
      </c>
      <c r="BH13" s="902">
        <f>IF(ISNUMBER(((Datos!L13/Datos!K13)*11)/factor_trimestre),((Datos!L13/Datos!K13)*11)/factor_trimestre," - ")</f>
        <v>9.4759615384615383</v>
      </c>
      <c r="BI13" s="898">
        <f>IF(ISNUMBER('Resol  Asuntos'!D13/NºAsuntos!G13),'Resol  Asuntos'!D13/NºAsuntos!G13," - ")</f>
        <v>0.1787878787878788</v>
      </c>
      <c r="BJ13" s="898" t="str">
        <f>IF(ISNUMBER(Datos!CI13/Datos!CJ13),Datos!CI13/Datos!CJ13," - ")</f>
        <v xml:space="preserve"> - </v>
      </c>
      <c r="BK13" s="898">
        <f>SUBTOTAL(9,BK8:BK12)</f>
        <v>0</v>
      </c>
      <c r="BL13" s="898">
        <f>IF(ISNUMBER((I13-AB13+L13)/(F13)),(I13-AB13+L13)/(F13)," - ")</f>
        <v>-0.19354838709677419</v>
      </c>
      <c r="BM13" s="903">
        <f>SUBTOTAL(9,BM9:BM12)</f>
        <v>-6.6432543166520336E-2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1353</v>
      </c>
      <c r="G16" s="597">
        <f>IF(ISNUMBER(IF(D_I="SI",Datos!I16,Datos!I16+Datos!AC16)),IF(D_I="SI",Datos!I16,Datos!I16+Datos!AC16)," - ")</f>
        <v>1350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677</v>
      </c>
      <c r="AC16" s="225">
        <f>IF(ISNUMBER(Datos!Q16),Datos!Q16," - ")</f>
        <v>33</v>
      </c>
      <c r="AD16" s="333"/>
      <c r="AE16" s="483"/>
      <c r="AF16" s="595">
        <f>IF(ISNUMBER(IF(D_I="SI",Datos!L16,Datos!L16+Datos!AF16)),IF(D_I="SI",Datos!L16,Datos!L16+Datos!AF16)," - ")</f>
        <v>1414</v>
      </c>
      <c r="AG16" s="333"/>
      <c r="AH16" s="333"/>
      <c r="AI16" s="333"/>
      <c r="AJ16" s="333"/>
      <c r="AK16" s="333"/>
      <c r="AL16" s="478"/>
      <c r="AM16" s="334">
        <f>IF(ISNUMBER(Datos!R16),Datos!R16," - ")</f>
        <v>94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70</v>
      </c>
      <c r="BD16" s="228">
        <f>IF(ISNUMBER(Datos!N16),Datos!N16," - ")</f>
        <v>494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0.91734417344173447</v>
      </c>
      <c r="BH16" s="259">
        <f>IF(ISNUMBER(((IF(D_I="SI",Datos!L16/Datos!K16,(Datos!L16+Datos!AF16)/(Datos!K16+Datos!AE16)))*11)/factor_trimestre),((IF(D_I="SI",Datos!L16/Datos!K16,(Datos!L16+Datos!AF16)/(Datos!K16+Datos!AE16)))*11)/factor_trimestre," - ")</f>
        <v>6.2658788774002963</v>
      </c>
      <c r="BI16" s="242">
        <f>IF(ISNUMBER('Resol  Asuntos'!D16/NºAsuntos!G16),'Resol  Asuntos'!D16/NºAsuntos!G16," - ")</f>
        <v>0.103397341211226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v>
      </c>
      <c r="AC17" s="225">
        <f>IF(ISNUMBER(Datos!Q17),Datos!Q17," - ")</f>
        <v>0</v>
      </c>
      <c r="AD17" s="333"/>
      <c r="AE17" s="483"/>
      <c r="AF17" s="331">
        <f>IF(ISNUMBER(Datos!L17),Datos!L17,"-")</f>
        <v>77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0.86764705882352944</v>
      </c>
      <c r="BH17" s="259">
        <f>IF(ISNUMBER(((IF(D_I="SI",Datos!L17/Datos!K17,(Datos!L17+Datos!AF17)/(Datos!K17+Datos!AE17)))*11)/factor_trimestre),((IF(D_I="SI",Datos!L17/Datos!K17,(Datos!L17+Datos!AF17)/(Datos!K17+Datos!AE17)))*11)/factor_trimestre," - ")</f>
        <v>3.9152542372881358</v>
      </c>
      <c r="BI17" s="242">
        <f>IF(ISNUMBER('Resol  Asuntos'!D17/NºAsuntos!G17),'Resol  Asuntos'!D17/NºAsuntos!G17," - ")</f>
        <v>3.3898305084745763E-2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1353</v>
      </c>
      <c r="G18" s="897">
        <f>SUBTOTAL(9,G15:G17)</f>
        <v>1418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736</v>
      </c>
      <c r="AC18" s="898">
        <f t="shared" si="4"/>
        <v>33</v>
      </c>
      <c r="AD18" s="898">
        <f t="shared" si="4"/>
        <v>0</v>
      </c>
      <c r="AE18" s="898">
        <f t="shared" si="4"/>
        <v>0</v>
      </c>
      <c r="AF18" s="898">
        <f t="shared" si="4"/>
        <v>1491</v>
      </c>
      <c r="AG18" s="898">
        <f t="shared" si="4"/>
        <v>0</v>
      </c>
      <c r="AH18" s="898">
        <f t="shared" si="4"/>
        <v>0</v>
      </c>
      <c r="AI18" s="898">
        <f t="shared" si="4"/>
        <v>0</v>
      </c>
      <c r="AJ18" s="898">
        <f t="shared" si="4"/>
        <v>0</v>
      </c>
      <c r="AK18" s="898">
        <f t="shared" si="4"/>
        <v>0</v>
      </c>
      <c r="AL18" s="898">
        <f t="shared" si="4"/>
        <v>0</v>
      </c>
      <c r="AM18" s="898">
        <f t="shared" si="4"/>
        <v>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v>
      </c>
      <c r="BD18" s="898">
        <f t="shared" si="4"/>
        <v>540</v>
      </c>
      <c r="BE18" s="898">
        <f t="shared" si="4"/>
        <v>0</v>
      </c>
      <c r="BF18" s="898">
        <f t="shared" si="4"/>
        <v>0</v>
      </c>
      <c r="BG18" s="898">
        <f>IF(ISNUMBER(Datos!K18/Datos!J18),Datos!K18/Datos!J18," - ")</f>
        <v>0.91315136476426795</v>
      </c>
      <c r="BH18" s="902">
        <f>IF(ISNUMBER(((Datos!L18/Datos!K18)*11)/factor_trimestre),((Datos!L18/Datos!K18)*11)/factor_trimestre," - ")</f>
        <v>6.0774456521739131</v>
      </c>
      <c r="BI18" s="898">
        <f>SUBTOTAL(9,BI15:BI17)</f>
        <v>0.13729564629597177</v>
      </c>
      <c r="BJ18" s="898">
        <f>SUBTOTAL(9,BJ15:BJ17)</f>
        <v>0</v>
      </c>
      <c r="BK18" s="898">
        <f>SUBTOTAL(9,BK15:BK17)</f>
        <v>0</v>
      </c>
      <c r="BL18" s="898">
        <f>IF(ISNUMBER((I18-AB18+L18)/(F18)),(I18-AB18+L18)/(F18)," - ")</f>
        <v>-0.54397634885439761</v>
      </c>
      <c r="BM18" s="904">
        <f>IF(ISNUMBER((Datos!P18-Datos!Q18)/(Datos!R18-Datos!P18+Datos!Q18)),(Datos!P18-Datos!Q18)/(Datos!R18-Datos!P18+Datos!Q18)," - ")</f>
        <v>-0.14912280701754385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1384</v>
      </c>
      <c r="G19" s="819">
        <f t="shared" si="6"/>
        <v>1449</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381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742</v>
      </c>
      <c r="AC19" s="820">
        <f t="shared" si="7"/>
        <v>625</v>
      </c>
      <c r="AD19" s="820">
        <f t="shared" si="7"/>
        <v>0</v>
      </c>
      <c r="AE19" s="820">
        <f t="shared" si="7"/>
        <v>0</v>
      </c>
      <c r="AF19" s="827">
        <f t="shared" si="7"/>
        <v>1526</v>
      </c>
      <c r="AG19" s="827">
        <f t="shared" si="7"/>
        <v>0</v>
      </c>
      <c r="AH19" s="827">
        <f t="shared" si="7"/>
        <v>29</v>
      </c>
      <c r="AI19" s="827">
        <f t="shared" si="7"/>
        <v>0</v>
      </c>
      <c r="AJ19" s="820">
        <f t="shared" si="7"/>
        <v>0</v>
      </c>
      <c r="AK19" s="827">
        <f t="shared" si="7"/>
        <v>0</v>
      </c>
      <c r="AL19" s="827">
        <f t="shared" si="7"/>
        <v>0</v>
      </c>
      <c r="AM19" s="827">
        <f t="shared" si="7"/>
        <v>3308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190</v>
      </c>
      <c r="BD19" s="819">
        <f t="shared" si="7"/>
        <v>830</v>
      </c>
      <c r="BE19" s="819">
        <f t="shared" si="7"/>
        <v>0</v>
      </c>
      <c r="BF19" s="829">
        <f t="shared" si="7"/>
        <v>0</v>
      </c>
      <c r="BG19" s="914">
        <f>IF(ISNUMBER(Datos!K19/Datos!J19),Datos!K19/Datos!J19," - ")</f>
        <v>0.98981077147016017</v>
      </c>
      <c r="BH19" s="914">
        <f>IF(ISNUMBER(((Datos!L19/Datos!K19)*11)/factor_trimestre),((Datos!L19/Datos!K19)*11)/factor_trimestre," - ")</f>
        <v>7.6367647058823529</v>
      </c>
      <c r="BI19" s="812">
        <f>IF(ISNUMBER(Datos!J19/Datos!I19),Datos!J19/Datos!I19," - ")</f>
        <v>0.3988388969521045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-0.53612716763005785</v>
      </c>
      <c r="BM19" s="888">
        <f>IF(ISNUMBER((Datos!P19-Datos!Q19+R19)/(Datos!R19-Datos!P19+Datos!Q19-R19)),(Datos!P19-Datos!Q19+R19)/(Datos!R19-Datos!P19+Datos!Q19-R19)," - ")</f>
        <v>-6.86936936936937E-2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763.25705586868526</v>
      </c>
      <c r="G21" s="551">
        <f>IF(ISNUMBER(STDEV(G8:G18)),STDEV(G8:G18),"-")</f>
        <v>734.86209590643602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375.20887516155585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52.221323869341596</v>
      </c>
      <c r="BD21" s="550"/>
      <c r="BE21" s="550">
        <f>IF(ISNUMBER(STDEV(BE8:BE18)),STDEV(BE8:BE18),"-")</f>
        <v>0</v>
      </c>
      <c r="BF21" s="555">
        <f>IF(ISNUMBER(STDEV(BF8:BF18)),STDEV(BF8:BF18),"-")</f>
        <v>0</v>
      </c>
      <c r="BG21" s="774">
        <f>IF(ISNUMBER(STDEV(BG8:BG18)),STDEV(BG8:BG18),"-")</f>
        <v>0.18578263180487287</v>
      </c>
      <c r="BH21" s="775">
        <f>IF(ISNUMBER(STDEV(BH8:BH18)),STDEV(BH8:BH18),"-")</f>
        <v>4.7715134430268824</v>
      </c>
      <c r="BI21" s="248">
        <f>IF(ISNUMBER(STDEV(BI8:BI18)),STDEV(BI8:BI18),"-")</f>
        <v>6.1283867072836964E-2</v>
      </c>
      <c r="BJ21" s="229" t="str">
        <f>IF(ISNUMBER(BL21/BM21),BL21/BM21," - ")</f>
        <v xml:space="preserve"> - </v>
      </c>
      <c r="BK21" s="574"/>
      <c r="BL21" s="558">
        <f>IF(ISNUMBER(STDEV(BL8:BL18)),STDEV(BL8:BL18),"-")</f>
        <v>0.24778998807619551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PlrNccBRsYfd6OOGoKJOGV4vrOB3lohcRCQWDhSU1fZ6qQHvJoORyX7jevJy4cd+PguHKHt6g0lkAQhOaIn8w==" saltValue="tPCbvZYcfFb7hOBESoaZ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 FELIU DE GUIXOLS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1</v>
      </c>
      <c r="AA10" s="331">
        <f>IF(ISNUMBER(Datos!L10),Datos!L10,"-")</f>
        <v>35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1</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17.499999999999996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591</v>
      </c>
      <c r="AA12" s="331" t="str">
        <f>IF(ISNUMBER(IF(J_V="SI",Datos!L12,Datos!L12+Datos!AB12)-IF(Monitorios="SI",Datos!CD12,0)),
                          IF(J_V="SI",Datos!L12,Datos!L12+Datos!AB12)-IF(Monitorios="SI",Datos!CD12,0),
                          " - ")</f>
        <v xml:space="preserve"> - </v>
      </c>
      <c r="AB12" s="333"/>
      <c r="AC12" s="333"/>
      <c r="AD12" s="483"/>
      <c r="AE12" s="483">
        <f>IF(ISNUMBER(Datos!R12),Datos!R12," - ")</f>
        <v>3190</v>
      </c>
      <c r="AF12" s="228" t="str">
        <f>IF(ISNUMBER(Datos!BV12),Datos!BV12," - ")</f>
        <v xml:space="preserve"> - </v>
      </c>
      <c r="AG12" s="224" t="str">
        <f>IF(ISNUMBER(Datos!DV12),Datos!DV12," - ")</f>
        <v xml:space="preserve"> - </v>
      </c>
      <c r="AH12" s="297"/>
      <c r="AI12" s="226"/>
      <c r="AJ12" s="224">
        <f>IF(ISNUMBER(Datos!M12),Datos!M12," - ")</f>
        <v>117</v>
      </c>
      <c r="AK12" s="228">
        <f>IF(ISNUMBER(Datos!N12),Datos!N12," - ")</f>
        <v>285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9.0137614678899087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-6.6432543166520336E-2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31</v>
      </c>
      <c r="G13" s="897">
        <f>SUBTOTAL(9,G8:G12)</f>
        <v>31</v>
      </c>
      <c r="H13" s="907"/>
      <c r="I13" s="897">
        <f t="shared" ref="I13:N13" si="0">SUBTOTAL(9,I8:I12)</f>
        <v>0</v>
      </c>
      <c r="J13" s="866">
        <f t="shared" si="0"/>
        <v>0</v>
      </c>
      <c r="K13" s="907">
        <f t="shared" si="0"/>
        <v>0</v>
      </c>
      <c r="L13" s="907">
        <f t="shared" si="0"/>
        <v>0</v>
      </c>
      <c r="M13" s="907">
        <f t="shared" si="0"/>
        <v>0</v>
      </c>
      <c r="N13" s="907">
        <f t="shared" si="0"/>
        <v>365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592</v>
      </c>
      <c r="AA13" s="899">
        <f t="shared" si="2"/>
        <v>35</v>
      </c>
      <c r="AB13" s="899">
        <f t="shared" si="2"/>
        <v>0</v>
      </c>
      <c r="AC13" s="899">
        <f t="shared" si="2"/>
        <v>0</v>
      </c>
      <c r="AD13" s="899">
        <f t="shared" si="2"/>
        <v>0</v>
      </c>
      <c r="AE13" s="899">
        <f t="shared" si="2"/>
        <v>3211</v>
      </c>
      <c r="AF13" s="907">
        <f t="shared" si="2"/>
        <v>0</v>
      </c>
      <c r="AG13" s="907">
        <f t="shared" si="2"/>
        <v>0</v>
      </c>
      <c r="AH13" s="907">
        <f t="shared" si="2"/>
        <v>0</v>
      </c>
      <c r="AI13" s="907">
        <f t="shared" si="2"/>
        <v>0</v>
      </c>
      <c r="AJ13" s="907">
        <f t="shared" si="2"/>
        <v>118</v>
      </c>
      <c r="AK13" s="907">
        <f t="shared" si="2"/>
        <v>290</v>
      </c>
      <c r="AL13" s="907">
        <f t="shared" si="2"/>
        <v>0</v>
      </c>
      <c r="AM13" s="907">
        <f t="shared" si="2"/>
        <v>0</v>
      </c>
      <c r="AN13" s="907">
        <f t="shared" si="2"/>
        <v>0</v>
      </c>
      <c r="AO13" s="903">
        <f>IF(ISNUMBER(((NºAsuntos!I13/NºAsuntos!G13)*11)/factor_trimestre),((NºAsuntos!I13/NºAsuntos!G13)*11)/factor_trimestre," - ")</f>
        <v>9.0909090909090917</v>
      </c>
      <c r="AP13" s="909" t="str">
        <f>IF(ISNUMBER(Datos!CI13/Datos!CJ13),Datos!CI13/Datos!CJ13," - ")</f>
        <v xml:space="preserve"> - </v>
      </c>
      <c r="AQ13" s="927">
        <f t="shared" ref="AQ13:AV13" si="3">SUBTOTAL(9,AQ9:AQ12)</f>
        <v>0</v>
      </c>
      <c r="AR13" s="927">
        <f t="shared" si="3"/>
        <v>-6.6432543166520336E-2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1353</v>
      </c>
      <c r="G16" s="224">
        <f>IF(ISNUMBER(IF(D_I="SI",Datos!I16,Datos!I16+Datos!AC16)),IF(D_I="SI",Datos!I16,Datos!I16+Datos!AC16)," - ")</f>
        <v>1350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677</v>
      </c>
      <c r="Z16" s="618">
        <f>IF(ISNUMBER(Datos!Q16),Datos!Q16," - ")</f>
        <v>33</v>
      </c>
      <c r="AA16" s="331">
        <f>IF(ISNUMBER(IF(D_I="SI",Datos!L16,Datos!L16+Datos!AF16)),IF(D_I="SI",Datos!L16,Datos!L16+Datos!AF16)," - ")</f>
        <v>1414</v>
      </c>
      <c r="AB16" s="333"/>
      <c r="AC16" s="333"/>
      <c r="AD16" s="483"/>
      <c r="AE16" s="483">
        <f>IF(ISNUMBER(Datos!R16),Datos!R16," - ")</f>
        <v>94</v>
      </c>
      <c r="AF16" s="228" t="str">
        <f>IF(ISNUMBER(Datos!BV16),Datos!BV16," - ")</f>
        <v xml:space="preserve"> - </v>
      </c>
      <c r="AG16" s="224"/>
      <c r="AH16" s="297"/>
      <c r="AI16" s="226"/>
      <c r="AJ16" s="224">
        <f>IF(ISNUMBER(Datos!M16),Datos!M16," - ")</f>
        <v>70</v>
      </c>
      <c r="AK16" s="228">
        <f>IF(ISNUMBER(Datos!N16),Datos!N16," - ")</f>
        <v>494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6.2658788774002963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v>
      </c>
      <c r="Z17" s="618">
        <f>IF(ISNUMBER(Datos!Q17),Datos!Q17," - ")</f>
        <v>0</v>
      </c>
      <c r="AA17" s="331">
        <f>IF(ISNUMBER(Datos!L17),Datos!L17,"-")</f>
        <v>77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v>
      </c>
      <c r="AK17" s="228">
        <f>IF(ISNUMBER(Datos!N17),Datos!N17," - ")</f>
        <v>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3.9152542372881358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1353</v>
      </c>
      <c r="G18" s="897">
        <f>SUBTOTAL(9,G15:G17)</f>
        <v>1418</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736</v>
      </c>
      <c r="Z18" s="931">
        <f t="shared" si="5"/>
        <v>33</v>
      </c>
      <c r="AA18" s="931">
        <f t="shared" si="5"/>
        <v>1491</v>
      </c>
      <c r="AB18" s="931">
        <f t="shared" si="5"/>
        <v>0</v>
      </c>
      <c r="AC18" s="931">
        <f t="shared" si="5"/>
        <v>0</v>
      </c>
      <c r="AD18" s="931">
        <f t="shared" si="5"/>
        <v>0</v>
      </c>
      <c r="AE18" s="931">
        <f t="shared" si="5"/>
        <v>97</v>
      </c>
      <c r="AF18" s="931">
        <f t="shared" si="5"/>
        <v>0</v>
      </c>
      <c r="AG18" s="931">
        <f t="shared" si="5"/>
        <v>0</v>
      </c>
      <c r="AH18" s="931">
        <f t="shared" si="5"/>
        <v>0</v>
      </c>
      <c r="AI18" s="931">
        <f t="shared" si="5"/>
        <v>0</v>
      </c>
      <c r="AJ18" s="931">
        <f t="shared" si="5"/>
        <v>72</v>
      </c>
      <c r="AK18" s="931">
        <f t="shared" si="5"/>
        <v>540</v>
      </c>
      <c r="AL18" s="931">
        <f t="shared" si="5"/>
        <v>0</v>
      </c>
      <c r="AM18" s="931">
        <f t="shared" si="5"/>
        <v>0</v>
      </c>
      <c r="AN18" s="931">
        <f t="shared" si="5"/>
        <v>0</v>
      </c>
      <c r="AO18" s="933">
        <f>IF(ISNUMBER(((NºAsuntos!I18/NºAsuntos!G18)*11)/factor_trimestre),((NºAsuntos!I18/NºAsuntos!G18)*11)/factor_trimestre," - ")</f>
        <v>6.0774456521739131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1384</v>
      </c>
      <c r="G19" s="819">
        <f t="shared" si="7"/>
        <v>1449</v>
      </c>
      <c r="H19" s="820">
        <f t="shared" si="7"/>
        <v>0</v>
      </c>
      <c r="I19" s="819">
        <f t="shared" si="7"/>
        <v>0</v>
      </c>
      <c r="J19" s="821">
        <f t="shared" si="7"/>
        <v>0</v>
      </c>
      <c r="K19" s="819">
        <f t="shared" si="7"/>
        <v>0</v>
      </c>
      <c r="L19" s="822">
        <f t="shared" si="7"/>
        <v>0</v>
      </c>
      <c r="M19" s="819">
        <f t="shared" si="7"/>
        <v>0</v>
      </c>
      <c r="N19" s="820">
        <f t="shared" si="7"/>
        <v>381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742</v>
      </c>
      <c r="Z19" s="826">
        <f t="shared" si="8"/>
        <v>625</v>
      </c>
      <c r="AA19" s="827">
        <f t="shared" si="8"/>
        <v>1526</v>
      </c>
      <c r="AB19" s="827">
        <f t="shared" si="8"/>
        <v>0</v>
      </c>
      <c r="AC19" s="827">
        <f t="shared" si="8"/>
        <v>0</v>
      </c>
      <c r="AD19" s="828">
        <f t="shared" si="8"/>
        <v>0</v>
      </c>
      <c r="AE19" s="828">
        <f t="shared" si="8"/>
        <v>3308</v>
      </c>
      <c r="AF19" s="829">
        <f t="shared" si="8"/>
        <v>0</v>
      </c>
      <c r="AG19" s="830">
        <f t="shared" si="8"/>
        <v>0</v>
      </c>
      <c r="AH19" s="831">
        <f t="shared" si="8"/>
        <v>0</v>
      </c>
      <c r="AI19" s="829">
        <f t="shared" si="8"/>
        <v>0</v>
      </c>
      <c r="AJ19" s="819">
        <f t="shared" si="8"/>
        <v>190</v>
      </c>
      <c r="AK19" s="819">
        <f t="shared" si="8"/>
        <v>830</v>
      </c>
      <c r="AL19" s="819">
        <f t="shared" si="8"/>
        <v>0</v>
      </c>
      <c r="AM19" s="832">
        <f t="shared" si="8"/>
        <v>0</v>
      </c>
      <c r="AN19" s="822">
        <f>IF(ISNUMBER(Datos!K19/Datos!J19),Datos!K19/Datos!J19," - ")</f>
        <v>0.98981077147016017</v>
      </c>
      <c r="AO19" s="822">
        <f>IF(ISNUMBER(FIND("06",Criterios!A8,1)),(IF(ISNUMBER(((Datos!R19/Datos!Q19)*11)/factor_trimestre),((Datos!R19/Datos!Q19)*11)/factor_trimestre," - ")),(IF(ISNUMBER(((Datos!L19/Datos!K19)*11)/factor_trimestre),((Datos!L19/Datos!K19)*11)/factor_trimestre," - ")))</f>
        <v>7.6367647058823529</v>
      </c>
      <c r="AP19" s="833" t="str">
        <f>IF(ISNUMBER(Datos!CI19/Datos!CJ19),Datos!CI19/Datos!CJ19," - ")</f>
        <v xml:space="preserve"> - </v>
      </c>
      <c r="AQ19" s="833">
        <f>IF(OR(ISNUMBER(FIND("01",Criterios!A8,1)),ISNUMBER(FIND("02",Criterios!A8,1)),ISNUMBER(FIND("03",Criterios!A8,1)),ISNUMBER(FIND("04",Criterios!A8,1))),(J19-Y19+K19)/(F19-K19),(I19-Y19+K19)/(F19-K19))</f>
        <v>-0.53612716763005785</v>
      </c>
      <c r="AR19" s="833">
        <f>IF(ISNUMBER((Datos!P19-Datos!Q19+O19)/(Datos!R19-Datos!P19+Datos!Q19-O19)),(Datos!P19-Datos!Q19+O19)/(Datos!R19-Datos!P19+Datos!Q19-O19)," - ")</f>
        <v>-6.86936936936937E-2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763.25705586868526</v>
      </c>
      <c r="G21" s="551">
        <f>IF(ISNUMBER(STDEV(G8:G18)),STDEV(G8:G18),"-")</f>
        <v>734.86209590643602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52.221323869341596</v>
      </c>
      <c r="AK21" s="251"/>
      <c r="AL21" s="251">
        <f>IF(ISNUMBER(STDEV(AL8:AL18)),STDEV(AL8:AL18),"-")</f>
        <v>0</v>
      </c>
      <c r="AM21" s="253">
        <f>IF(ISNUMBER(STDEV(AM8:AM18)),STDEV(AM8:AM18),"-")</f>
        <v>0</v>
      </c>
      <c r="AN21" s="538">
        <f>IF(ISNUMBER(STDEV(AN8:AN18)),STDEV(AN8:AN18),"-")</f>
        <v>0</v>
      </c>
      <c r="AO21" s="539">
        <f>IF(ISNUMBER(STDEV(AO8:AO18)),STDEV(AO8:AO18),"-")</f>
        <v>4.7616989608168172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kNKYmRDpffYAyPst9/ofMr/cKUHwCj2DsTJiNJGUI+azJ29mhDGE/NipFts9LNmqgNE9knWe7L/xlVYylXSKg==" saltValue="Uxi3wL4RlLbfe1xTNpch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LCos1qXsEwD7TEEF5m9sRqyv+CUruKqnACnI4m9uQA+dzLEIhUlBv/QBIdXV8aTzYfZ14Anm1H8uCWxsGgCKg==" saltValue="qbo51z+BqCtkOmmdsZqP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KJnzfHOvxHlcNvYTFgZWdTVu/Ty8QGnyhnGp25S+tGsC19hB1cciDOGq1r8ucIP/EK4DFzsG9g1TQjlbS6bw==" saltValue="rR//XEDKuh/ZSJutFPUS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0.1787878787878788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0.12642212148486759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bwVi5A/BY5cBzGdzuUEx9hnixOrCX9+FTgodfLZNI8xLFbCExtvlrIcU+cVXJ3JemLvo+V2542+ezQo181pbg==" saltValue="63VlgqcL9TNpUohBgh8f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icNseLSyYem9BHalub+BR5yRCCjcatTDIaAyleKj5a5zICXNvqOx8G70loiEDQKU9m93sy3LxdPQdsXOOprjQ==" saltValue="+bsn612+qCvdpOeJh2ot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 FELIU DE GUIXOLS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31</v>
      </c>
      <c r="D10" s="403">
        <f>IF(ISNUMBER(C10/Datos!BH10),C10/Datos!BH10," - ")</f>
        <v>31</v>
      </c>
      <c r="E10" s="402">
        <f>IF(ISNUMBER(Datos!J10),Datos!J10," - ")</f>
        <v>10</v>
      </c>
      <c r="F10" s="403">
        <f>IF(ISNUMBER(E10/B10),E10/B10," - ")</f>
        <v>10</v>
      </c>
      <c r="G10" s="402">
        <f>IF(ISNUMBER(Datos!K10),Datos!K10," - ")</f>
        <v>6</v>
      </c>
      <c r="H10" s="403">
        <f>IF(ISNUMBER(G10/B10),G10/B10," - ")</f>
        <v>6</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2029</v>
      </c>
      <c r="D12" s="403">
        <f>IF(ISNUMBER(C12/Datos!BH12),C12/Datos!BH12," - ")</f>
        <v>676.33333333333337</v>
      </c>
      <c r="E12" s="402">
        <f>IF(ISNUMBER(IF(J_V="SI",Datos!J12,Datos!J12+Datos!Z12)),IF(J_V="SI",Datos!J12,Datos!J12+Datos!Z12)," - ")</f>
        <v>590</v>
      </c>
      <c r="F12" s="403">
        <f>IF(ISNUMBER(E12/B12),E12/B12," - ")</f>
        <v>196.66666666666666</v>
      </c>
      <c r="G12" s="402">
        <f>IF(ISNUMBER(IF(J_V="SI",Datos!K12,Datos!K12+Datos!AA12)),IF(J_V="SI",Datos!K12,Datos!K12+Datos!AA12)," - ")</f>
        <v>654</v>
      </c>
      <c r="H12" s="403">
        <f>IF(ISNUMBER(G12/B12),G12/B12," - ")</f>
        <v>218</v>
      </c>
      <c r="I12" s="402">
        <f>IF(ISNUMBER(IF(J_V="SI",Datos!L12,Datos!L12+Datos!AB12)),IF(J_V="SI",Datos!L12,Datos!L12+Datos!AB12)," - ")</f>
        <v>1965</v>
      </c>
      <c r="J12" s="403">
        <f>IF(ISNUMBER(I12/B12),I12/B12," - ")</f>
        <v>655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2060</v>
      </c>
      <c r="D13" s="849" t="str">
        <f>IF(ISNUMBER(C13/Datos!BI13),C13/Datos!BI13," - ")</f>
        <v xml:space="preserve"> - </v>
      </c>
      <c r="E13" s="848">
        <f>SUBTOTAL(9,E8:E12)</f>
        <v>600</v>
      </c>
      <c r="F13" s="849">
        <f>IF(ISNUMBER(E13/B13),E13/B13," - ")</f>
        <v>200</v>
      </c>
      <c r="G13" s="848">
        <f>SUBTOTAL(9,G8:G12)</f>
        <v>660</v>
      </c>
      <c r="H13" s="849">
        <f>IF(ISNUMBER(G13/B13),G13/B13," - ")</f>
        <v>220</v>
      </c>
      <c r="I13" s="848">
        <f>SUBTOTAL(9,I8:I12)</f>
        <v>2000</v>
      </c>
      <c r="J13" s="849">
        <f>IF(ISNUMBER(I13/B13),I13/B13," - ")</f>
        <v>666.66666666666663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1350</v>
      </c>
      <c r="D16" s="403">
        <f>IF(ISNUMBER(C16/Datos!BH16),C16/Datos!BH16," - ")</f>
        <v>450</v>
      </c>
      <c r="E16" s="402">
        <f>IF(ISNUMBER(IF(D_I="SI",Datos!J16,Datos!J16+Datos!AD16)),IF(D_I="SI",Datos!J16,Datos!J16+Datos!AD16)," - ")</f>
        <v>738</v>
      </c>
      <c r="F16" s="403">
        <f>IF(ISNUMBER(E16/B16),E16/B16," - ")</f>
        <v>246</v>
      </c>
      <c r="G16" s="402">
        <f>IF(ISNUMBER(IF(D_I="SI",Datos!K16,Datos!K16+Datos!AE16)),IF(D_I="SI",Datos!K16,Datos!K16+Datos!AE16)," - ")</f>
        <v>677</v>
      </c>
      <c r="H16" s="403">
        <f>IF(ISNUMBER(G16/B16),G16/B16," - ")</f>
        <v>225.66666666666666</v>
      </c>
      <c r="I16" s="402">
        <f>IF(ISNUMBER(IF(D_I="SI",Datos!L16,Datos!L16+Datos!AF16)),IF(D_I="SI",Datos!L16,Datos!L16+Datos!AF16)," - ")</f>
        <v>1414</v>
      </c>
      <c r="J16" s="403">
        <f>IF(ISNUMBER(I16/B16),I16/B16," - ")</f>
        <v>471.33333333333331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68</v>
      </c>
      <c r="D17" s="403">
        <f>IF(ISNUMBER(C17/Datos!BH17),C17/Datos!BH17," - ")</f>
        <v>68</v>
      </c>
      <c r="E17" s="402">
        <f>IF(ISNUMBER(IF(D_I="SI",Datos!J17,Datos!J17+Datos!AD17)),IF(D_I="SI",Datos!J17,Datos!J17+Datos!AD17)," - ")</f>
        <v>68</v>
      </c>
      <c r="F17" s="403">
        <f>IF(ISNUMBER(E17/B17),E17/B17," - ")</f>
        <v>68</v>
      </c>
      <c r="G17" s="402">
        <f>IF(ISNUMBER(IF(D_I="SI",Datos!K17,Datos!K17+Datos!AE17)),IF(D_I="SI",Datos!K17,Datos!K17+Datos!AE17)," - ")</f>
        <v>59</v>
      </c>
      <c r="H17" s="403">
        <f>IF(ISNUMBER(G17/B17),G17/B17," - ")</f>
        <v>59</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1418</v>
      </c>
      <c r="D18" s="849" t="str">
        <f>IF(ISNUMBER(C18/Datos!BI18),C18/Datos!BI18," - ")</f>
        <v xml:space="preserve"> - </v>
      </c>
      <c r="E18" s="848">
        <f>SUBTOTAL(9,E14:E17)</f>
        <v>806</v>
      </c>
      <c r="F18" s="849">
        <f>IF(ISNUMBER(E18/B18),E18/B18," - ")</f>
        <v>268.66666666666669</v>
      </c>
      <c r="G18" s="848">
        <f>SUBTOTAL(9,G14:G17)</f>
        <v>736</v>
      </c>
      <c r="H18" s="849">
        <f>IF(ISNUMBER(G18/B18),G18/B18," - ")</f>
        <v>245.33333333333334</v>
      </c>
      <c r="I18" s="848">
        <f>SUBTOTAL(9,I14:I17)</f>
        <v>1491</v>
      </c>
      <c r="J18" s="849">
        <f>IF(ISNUMBER(I18/B18),I18/B18," - ")</f>
        <v>497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3478</v>
      </c>
      <c r="D19" s="794" t="str">
        <f>IF(ISNUMBER(C19/Datos!BI19),C19/Datos!BI19," - ")</f>
        <v xml:space="preserve"> - </v>
      </c>
      <c r="E19" s="793">
        <f>SUBTOTAL(9,E9:E18)</f>
        <v>1406</v>
      </c>
      <c r="F19" s="794">
        <f>IF(ISNUMBER(E19/B19),E19/B19," - ")</f>
        <v>468.66666666666669</v>
      </c>
      <c r="G19" s="793">
        <f>SUBTOTAL(9,G9:G18)</f>
        <v>1396</v>
      </c>
      <c r="H19" s="794">
        <f>IF(ISNUMBER(G19/B19),G19/B19," - ")</f>
        <v>465.33333333333331</v>
      </c>
      <c r="I19" s="793">
        <f>SUBTOTAL(9,I9:I18)</f>
        <v>3491</v>
      </c>
      <c r="J19" s="794">
        <f>IF(ISNUMBER(I19/B19),I19/B19," - ")</f>
        <v>1163.6666666666667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KoNkVaXv8UBrj7j3r6X/b+srZmmj4d9pSIeoKpat3q/u/K5NtQ+fbvr9JHu6t92B8Nh6hu6NL3nuNKIb7GMrg==" saltValue="tsorEY9b07cNw3knWPcw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 FELIU DE GUIXOLS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17.499999999999996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117</v>
      </c>
      <c r="AM12" s="689">
        <f>IF(ISNUMBER(Datos!N12+DatosP!N16),Datos!N12+DatosP!N16," - ")</f>
        <v>285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9.0137614678899087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-6.6432543166520336E-2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31</v>
      </c>
      <c r="G13" s="937">
        <f t="shared" si="0"/>
        <v>31</v>
      </c>
      <c r="H13" s="937">
        <f t="shared" si="0"/>
        <v>0</v>
      </c>
      <c r="I13" s="939">
        <f t="shared" si="0"/>
        <v>0</v>
      </c>
      <c r="J13" s="938">
        <f t="shared" si="0"/>
        <v>0</v>
      </c>
      <c r="K13" s="938">
        <f t="shared" si="0"/>
        <v>0</v>
      </c>
      <c r="L13" s="940">
        <f t="shared" si="0"/>
        <v>0</v>
      </c>
      <c r="M13" s="940">
        <f t="shared" si="0"/>
        <v>0</v>
      </c>
      <c r="N13" s="938">
        <f t="shared" si="0"/>
        <v>365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591</v>
      </c>
      <c r="AE13" s="938">
        <f t="shared" si="1"/>
        <v>0</v>
      </c>
      <c r="AF13" s="938">
        <f t="shared" si="1"/>
        <v>35</v>
      </c>
      <c r="AG13" s="938">
        <f t="shared" si="1"/>
        <v>0</v>
      </c>
      <c r="AH13" s="938">
        <f t="shared" si="1"/>
        <v>3190</v>
      </c>
      <c r="AI13" s="938">
        <f t="shared" si="1"/>
        <v>0</v>
      </c>
      <c r="AJ13" s="938">
        <f t="shared" si="1"/>
        <v>0</v>
      </c>
      <c r="AK13" s="938">
        <f t="shared" si="1"/>
        <v>0</v>
      </c>
      <c r="AL13" s="938">
        <f t="shared" si="1"/>
        <v>118</v>
      </c>
      <c r="AM13" s="938">
        <f t="shared" si="1"/>
        <v>290</v>
      </c>
      <c r="AN13" s="938">
        <f t="shared" si="1"/>
        <v>0</v>
      </c>
      <c r="AO13" s="938">
        <f t="shared" si="1"/>
        <v>0</v>
      </c>
      <c r="AP13" s="943">
        <f>IF(ISNUMBER(((Datos!L13/Datos!K13)*11)/factor_trimestre),((Datos!L13/Datos!K13)*11)/factor_trimestre," - ")</f>
        <v>9.4759615384615383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-0.19354838709677419</v>
      </c>
      <c r="AU13" s="938" t="str">
        <f>IF(ISNUMBER((DatosP!#REF!-DatosP!#REF!+DatosP!#REF!)/(DatosP!#REF!+DatosP!#REF!-DatosP!#REF!-DatosP!#REF!)),(DatosP!#REF!-DatosP!#REF!+DatosP!#REF!)/(DatosP!#REF!+DatosP!#REF!-DatosP!#REF!-DatosP!#REF!)," - ")</f>
        <v xml:space="preserve"> - </v>
      </c>
      <c r="AV13" s="944">
        <f>SUBTOTAL(9,AV9:AV12)</f>
        <v>-6.6432543166520336E-2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6.0774456521739131</v>
      </c>
      <c r="AQ18" s="943">
        <f>IF(ISNUMBER(((Datos!M18/Datos!L18)*11)/factor_trimestre),((Datos!M18/Datos!L18)*11)/factor_trimestre," - ")</f>
        <v>0.14486921529175048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-0.14912280701754385</v>
      </c>
      <c r="AW18" s="945">
        <f>IF(ISNUMBER((Datos!Q18-Datos!R18)/(Datos!S18-Datos!Q18+Datos!R18)),(Datos!Q18-Datos!R18)/(Datos!S18-Datos!Q18+Datos!R18)," - ")</f>
        <v>-4.2981867024848894E-2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31</v>
      </c>
      <c r="G19" s="950">
        <f t="shared" si="4"/>
        <v>31</v>
      </c>
      <c r="H19" s="950">
        <f t="shared" si="4"/>
        <v>0</v>
      </c>
      <c r="I19" s="951">
        <f t="shared" si="4"/>
        <v>0</v>
      </c>
      <c r="J19" s="952">
        <f t="shared" si="4"/>
        <v>0</v>
      </c>
      <c r="K19" s="952">
        <f t="shared" si="4"/>
        <v>0</v>
      </c>
      <c r="L19" s="952">
        <f t="shared" si="4"/>
        <v>0</v>
      </c>
      <c r="M19" s="952">
        <f t="shared" si="4"/>
        <v>0</v>
      </c>
      <c r="N19" s="951">
        <f t="shared" si="4"/>
        <v>365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591</v>
      </c>
      <c r="AE19" s="956">
        <f t="shared" si="5"/>
        <v>0</v>
      </c>
      <c r="AF19" s="957">
        <f t="shared" si="5"/>
        <v>35</v>
      </c>
      <c r="AG19" s="957">
        <f t="shared" si="5"/>
        <v>0</v>
      </c>
      <c r="AH19" s="957">
        <f t="shared" si="5"/>
        <v>3190</v>
      </c>
      <c r="AI19" s="957">
        <f t="shared" si="5"/>
        <v>0</v>
      </c>
      <c r="AJ19" s="958">
        <f t="shared" si="5"/>
        <v>0</v>
      </c>
      <c r="AK19" s="958">
        <f t="shared" si="5"/>
        <v>0</v>
      </c>
      <c r="AL19" s="950">
        <f t="shared" si="5"/>
        <v>118</v>
      </c>
      <c r="AM19" s="950">
        <f t="shared" si="5"/>
        <v>290</v>
      </c>
      <c r="AN19" s="950">
        <f t="shared" si="5"/>
        <v>0</v>
      </c>
      <c r="AO19" s="950">
        <f t="shared" si="5"/>
        <v>0</v>
      </c>
      <c r="AP19" s="950">
        <f>IF(ISNUMBER(((Datos!L19/Datos!K19)*11)/factor_trimestre),((Datos!L19/Datos!K19)*11)/factor_trimestre," - ")</f>
        <v>7.6367647058823529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-0.19354838709677419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-6.86936936936937E-2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17.897858344878401</v>
      </c>
      <c r="G21" s="736">
        <f>IF(ISNUMBER(STDEV(G8:G18)),STDEV(G8:G18),"-")</f>
        <v>17.897858344878401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67.552448758970485</v>
      </c>
      <c r="AM21" s="735"/>
      <c r="AN21" s="735">
        <f>IF(ISNUMBER(STDEV(AN8:AN18)),STDEV(AN8:AN18),"-")</f>
        <v>0</v>
      </c>
      <c r="AO21" s="741">
        <f>IF(ISNUMBER(STDEV(AO8:AO18)),STDEV(AO8:AO18),"-")</f>
        <v>0</v>
      </c>
      <c r="AP21" s="778">
        <f>IF(ISNUMBER(STDEV(AP8:AP18)),STDEV(AP8:AP18),"-")</f>
        <v>4.8926958757363348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9gSHYt/JpyPjtD4Pob6OwCUYZoho+bk4p2RFQsoFB/mcYQd14BZB8IfXfxdg8UvP1ypRsU3Bk1515ifmjSW2Q==" saltValue="EKHBdJT9ea34QHiMViKf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SANT FELIU DE GUIXOLS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CMlojend8JCgeyGQWPRshnf/oPujn56tIFUvhcSDyZRLP3x74lVNQN2HYQ0IARv1J3z/DWmUoG560mrKffz5Q==" saltValue="eg/BPHmJEd7HpsrBzxDs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 FELIU DE GUIXOLS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5</v>
      </c>
      <c r="G10" s="403">
        <f>IF(ISNUMBER(F10/B10),F10/B10," - ")</f>
        <v>5</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117</v>
      </c>
      <c r="E12" s="403">
        <f t="shared" si="0"/>
        <v>39</v>
      </c>
      <c r="F12" s="402">
        <f>IF(ISNUMBER(Datos!N12),Datos!N12," - ")</f>
        <v>285</v>
      </c>
      <c r="G12" s="403">
        <f t="shared" si="1"/>
        <v>95</v>
      </c>
      <c r="H12" s="402">
        <f>IF(ISNUMBER(Datos!O12),Datos!O12," - ")</f>
        <v>345</v>
      </c>
      <c r="I12" s="403">
        <f t="shared" si="2"/>
        <v>115</v>
      </c>
      <c r="BZ12" s="1185">
        <f>Datos!EZ12</f>
        <v>0</v>
      </c>
    </row>
    <row r="13" spans="1:78" ht="14.25" thickTop="1" thickBot="1">
      <c r="A13" s="847" t="str">
        <f>Datos!A13</f>
        <v>TOTAL</v>
      </c>
      <c r="B13" s="848">
        <f>Datos!AP13</f>
        <v>3</v>
      </c>
      <c r="C13" s="850">
        <f>Datos!AR13</f>
        <v>3</v>
      </c>
      <c r="D13" s="848">
        <f>SUBTOTAL(9,D9:D12)</f>
        <v>118</v>
      </c>
      <c r="E13" s="849">
        <f t="shared" si="0"/>
        <v>39.333333333333336</v>
      </c>
      <c r="F13" s="848">
        <f>SUBTOTAL(9,F9:F12)</f>
        <v>290</v>
      </c>
      <c r="G13" s="849">
        <f t="shared" si="1"/>
        <v>96.666666666666671</v>
      </c>
      <c r="H13" s="848">
        <f>SUBTOTAL(9,H9:H12)</f>
        <v>346</v>
      </c>
      <c r="I13" s="849">
        <f>IF(ISNUMBER(H13/B13),H13/B13," - ")</f>
        <v>115.33333333333333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70</v>
      </c>
      <c r="E16" s="403">
        <f t="shared" si="3"/>
        <v>23.333333333333332</v>
      </c>
      <c r="F16" s="402">
        <f>IF(ISNUMBER(Datos!N16),Datos!N16," - ")</f>
        <v>494</v>
      </c>
      <c r="G16" s="403">
        <f t="shared" si="4"/>
        <v>164.66666666666666</v>
      </c>
      <c r="H16" s="402">
        <f>IF(ISNUMBER(Datos!O16),Datos!O16," - ")</f>
        <v>2</v>
      </c>
      <c r="I16" s="403">
        <f t="shared" si="5"/>
        <v>0.66666666666666663</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46</v>
      </c>
      <c r="G17" s="403">
        <f>IF(ISNUMBER(F17/B17),F17/B17," - ")</f>
        <v>46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72</v>
      </c>
      <c r="E18" s="849">
        <f t="shared" si="3"/>
        <v>24</v>
      </c>
      <c r="F18" s="848">
        <f>SUBTOTAL(9,F15:F17)</f>
        <v>540</v>
      </c>
      <c r="G18" s="849">
        <f t="shared" si="4"/>
        <v>180</v>
      </c>
      <c r="H18" s="848">
        <f>SUBTOTAL(9,H15:H17)</f>
        <v>2</v>
      </c>
      <c r="I18" s="849">
        <f>IF(ISNUMBER(H18/B18),H18/B18," - ")</f>
        <v>0.66666666666666663</v>
      </c>
      <c r="BZ18" s="1185"/>
    </row>
    <row r="19" spans="1:78" ht="14.25" thickTop="1" thickBot="1">
      <c r="A19" s="792" t="str">
        <f>Datos!A19</f>
        <v>TOTAL JURISDICCIONES</v>
      </c>
      <c r="B19" s="793">
        <f>Datos!AP19</f>
        <v>3</v>
      </c>
      <c r="C19" s="793">
        <f>Datos!AR19</f>
        <v>3</v>
      </c>
      <c r="D19" s="793">
        <f>SUBTOTAL(9,D8:D18)</f>
        <v>190</v>
      </c>
      <c r="E19" s="794">
        <f>IF(ISNUMBER(D19/B19),D19/B19," - ")</f>
        <v>63.333333333333336</v>
      </c>
      <c r="F19" s="793">
        <f>SUBTOTAL(9,F8:F18)</f>
        <v>830</v>
      </c>
      <c r="G19" s="794">
        <f>IF(ISNUMBER(F19/B19),F19/B19," - ")</f>
        <v>276.66666666666669</v>
      </c>
      <c r="H19" s="793">
        <f>SUBTOTAL(9,H8:H18)</f>
        <v>348</v>
      </c>
      <c r="I19" s="794">
        <f>IF(ISNUMBER(H19/B19),H19/B19," - ")</f>
        <v>116</v>
      </c>
    </row>
    <row r="22" spans="1:78">
      <c r="A22" s="390" t="str">
        <f>Criterios!A4</f>
        <v>Fecha Informe: 17 mar. 2026</v>
      </c>
    </row>
    <row r="27" spans="1:78">
      <c r="A27" s="413"/>
    </row>
  </sheetData>
  <sheetProtection algorithmName="SHA-512" hashValue="yswTM477ddSgrutaV9DSj2rt9envre9rfl33GDScML/tcRY4RfM8RjwvfQNzLWbC3bZus74mg+wDvr93jqST+A==" saltValue="Cp7NI1VPNaXx3DzF+BE5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 FELIU DE GUIXOLS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364</v>
      </c>
      <c r="C12" s="433">
        <f>IF(ISNUMBER(Datos!Q12),Datos!Q12," - ")</f>
        <v>591</v>
      </c>
      <c r="D12" s="407">
        <f>IF(ISNUMBER(Datos!R12),Datos!R12," - ")</f>
        <v>3190</v>
      </c>
    </row>
    <row r="13" spans="1:4" ht="14.25" thickTop="1" thickBot="1">
      <c r="A13" s="847" t="str">
        <f>Datos!A13</f>
        <v>TOTAL</v>
      </c>
      <c r="B13" s="848">
        <f>SUBTOTAL(9,B9:B12)</f>
        <v>365</v>
      </c>
      <c r="C13" s="852">
        <f>SUBTOTAL(9,C9:C12)</f>
        <v>592</v>
      </c>
      <c r="D13" s="850">
        <f>SUBTOTAL(9,D9:D12)</f>
        <v>3211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33</v>
      </c>
      <c r="D16" s="407">
        <f>IF(ISNUMBER(Datos!R16),Datos!R16," - ")</f>
        <v>94</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16</v>
      </c>
      <c r="C18" s="852">
        <f>SUBTOTAL(9,C15:C17)</f>
        <v>33</v>
      </c>
      <c r="D18" s="850">
        <f>SUBTOTAL(9,D15:D17)</f>
        <v>97</v>
      </c>
    </row>
    <row r="19" spans="1:4" ht="16.5" customHeight="1" thickTop="1" thickBot="1">
      <c r="A19" s="792" t="str">
        <f>Datos!A19</f>
        <v>TOTAL JURISDICCIONES</v>
      </c>
      <c r="B19" s="797">
        <f>SUBTOTAL(9,B8:B18)</f>
        <v>381</v>
      </c>
      <c r="C19" s="798">
        <f>SUBTOTAL(9,C8:C18)</f>
        <v>625</v>
      </c>
      <c r="D19" s="799">
        <f>SUBTOTAL(9,D8:D18)</f>
        <v>3308</v>
      </c>
    </row>
    <row r="20" spans="1:4" ht="7.5" customHeight="1"/>
    <row r="21" spans="1:4" ht="6" customHeight="1"/>
    <row r="22" spans="1:4">
      <c r="A22" s="390" t="str">
        <f>Criterios!A4</f>
        <v>Fecha Informe: 17 mar. 2026</v>
      </c>
    </row>
    <row r="27" spans="1:4">
      <c r="A27" s="413"/>
    </row>
  </sheetData>
  <sheetProtection algorithmName="SHA-512" hashValue="7O+VTCdvbJ7CXBWxnBwb+1y7ZQGEPaTPjK+3JwfCGPoHPOT6ptz0sKluvj5IWdzhPmrz6/vBfrs/LfKvZwehtA==" saltValue="RJdlBN8dBx/ZMnDMvvGP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 FELIU DE GUIXOLS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-3.125E-2</v>
      </c>
      <c r="C10" s="455">
        <f>IF(ISNUMBER((Datos!J10-Datos!T10)/Datos!T10),(Datos!J10-Datos!T10)/Datos!T10," - ")</f>
        <v>0.66666666666666663</v>
      </c>
      <c r="D10" s="455">
        <f>IF(ISNUMBER((Datos!K10-Datos!U10)/Datos!U10),(Datos!K10-Datos!U10)/Datos!U10," - ")</f>
        <v>-0.4</v>
      </c>
      <c r="E10" s="455">
        <f>IF(ISNUMBER((Datos!L10-Datos!V10)/Datos!V10),(Datos!L10-Datos!V10)/Datos!V10," - ")</f>
        <v>0.25</v>
      </c>
      <c r="F10" s="455">
        <f>IF(ISNUMBER((Datos!M10-Datos!W10)/Datos!W10),(Datos!M10-Datos!W10)/Datos!W10," - ")</f>
        <v>-0.75</v>
      </c>
      <c r="G10" s="456">
        <f>IF(ISNUMBER((Datos!N10-Datos!X10)/Datos!X10),(Datos!N10-Datos!X10)/Datos!X10," - ")</f>
        <v>-0.16666666666666666</v>
      </c>
      <c r="H10" s="454">
        <f>IF(ISNUMBER(((NºAsuntos!G10/NºAsuntos!E10)-Datos!BD10)/Datos!BD10),((NºAsuntos!G10/NºAsuntos!E10)-Datos!BD10)/Datos!BD10," - ")</f>
        <v>-0.64000000000000012</v>
      </c>
      <c r="I10" s="455">
        <f>IF(ISNUMBER(((NºAsuntos!I10/NºAsuntos!G10)-Datos!BE10)/Datos!BE10),((NºAsuntos!I10/NºAsuntos!G10)-Datos!BE10)/Datos!BE10," - ")</f>
        <v>1.0833333333333333</v>
      </c>
      <c r="J10" s="460">
        <f>IF(ISNUMBER((('Resol  Asuntos'!D10/NºAsuntos!G10)-Datos!BF10)/Datos!BF10),(('Resol  Asuntos'!D10/NºAsuntos!G10)-Datos!BF10)/Datos!BF10," - ")</f>
        <v>-0.58333333333333337</v>
      </c>
      <c r="K10" s="461">
        <f>IF(ISNUMBER((((NºAsuntos!C10+NºAsuntos!E10)/NºAsuntos!G10)-Datos!BG10)/Datos!BG10),(((NºAsuntos!C10+NºAsuntos!E10)/NºAsuntos!G10)-Datos!BG10)/Datos!BG10," - ")</f>
        <v>0.79824561403508776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-0.1838294448913918</v>
      </c>
      <c r="C12" s="455">
        <f>IF(ISNUMBER(
   IF(J_V="SI",(Datos!J12-Datos!T12)/Datos!T12,(Datos!J12+Datos!Z12-(Datos!T12+Datos!AH12))/(Datos!T12+Datos!AH12))
     ),IF(J_V="SI",(Datos!J12-Datos!T12)/Datos!T12,(Datos!J12+Datos!Z12-(Datos!T12+Datos!AH12))/(Datos!T12+Datos!AH12))," - ")</f>
        <v>-0.31235431235431238</v>
      </c>
      <c r="D12" s="455">
        <f>IF(ISNUMBER(
   IF(J_V="SI",(Datos!K12-Datos!U12)/Datos!U12,(Datos!K12+Datos!AA12-(Datos!U12+Datos!AI12))/(Datos!U12+Datos!AI12))
     ),IF(J_V="SI",(Datos!K12-Datos!U12)/Datos!U12,(Datos!K12+Datos!AA12-(Datos!U12+Datos!AI12))/(Datos!U12+Datos!AI12))," - ")</f>
        <v>-0.22235434007134364</v>
      </c>
      <c r="E12" s="455">
        <f>IF(ISNUMBER(
   IF(J_V="SI",(Datos!L12-Datos!V12)/Datos!V12,(Datos!L12+Datos!AB12-(Datos!V12+Datos!AJ12))/(Datos!V12+Datos!AJ12))
     ),IF(J_V="SI",(Datos!L12-Datos!V12)/Datos!V12,(Datos!L12+Datos!AB12-(Datos!V12+Datos!AJ12))/(Datos!V12+Datos!AJ12))," - ")</f>
        <v>-0.1976316864026133</v>
      </c>
      <c r="F12" s="455">
        <f>IF(ISNUMBER((Datos!M12-Datos!W12)/Datos!W12),(Datos!M12-Datos!W12)/Datos!W12," - ")</f>
        <v>-0.4375</v>
      </c>
      <c r="G12" s="456">
        <f>IF(ISNUMBER((Datos!N12-Datos!X12)/Datos!X12),(Datos!N12-Datos!X12)/Datos!X12," - ")</f>
        <v>-0.13109756097560976</v>
      </c>
      <c r="H12" s="454">
        <f>IF(ISNUMBER(((NºAsuntos!G12/NºAsuntos!E12)-Datos!BD12)/Datos!BD12),((NºAsuntos!G12/NºAsuntos!E12)-Datos!BD12)/Datos!BD12," - ")</f>
        <v>0.13088131562506311</v>
      </c>
      <c r="I12" s="455">
        <f>IF(ISNUMBER(((NºAsuntos!I12/NºAsuntos!G12)-Datos!BE12)/Datos!BE12),((NºAsuntos!I12/NºAsuntos!G12)-Datos!BE12)/Datos!BE12," - ")</f>
        <v>3.1791669320186774E-2</v>
      </c>
      <c r="J12" s="460">
        <f>IF(ISNUMBER((('Resol  Asuntos'!D12/NºAsuntos!G12)-Datos!BF12)/Datos!BF12),(('Resol  Asuntos'!D12/NºAsuntos!G12)-Datos!BF12)/Datos!BF12," - ")</f>
        <v>-0.5412983889013202</v>
      </c>
      <c r="K12" s="461">
        <f>IF(ISNUMBER((((NºAsuntos!C12+NºAsuntos!E12)/NºAsuntos!G12)-Datos!BG12)/Datos!BG12),(((NºAsuntos!C12+NºAsuntos!E12)/NºAsuntos!G12)-Datos!BG12)/Datos!BG12," - ")</f>
        <v>7.13450902067507E-3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-0.181890389197776</v>
      </c>
      <c r="C13" s="854">
        <f>IF(ISNUMBER(
   IF(J_V="SI",(Datos!J13-Datos!T13)/Datos!T13,(Datos!J13+Datos!Z13-(Datos!T13+Datos!AH13))/(Datos!T13+Datos!AH13))
     ),IF(J_V="SI",(Datos!J13-Datos!T13)/Datos!T13,(Datos!J13+Datos!Z13-(Datos!T13+Datos!AH13))/(Datos!T13+Datos!AH13))," - ")</f>
        <v>-0.30555555555555558</v>
      </c>
      <c r="D13" s="854">
        <f>IF(ISNUMBER(
   IF(J_V="SI",(Datos!K13-Datos!U13)/Datos!U13,(Datos!K13+Datos!AA13-(Datos!U13+Datos!AI13))/(Datos!U13+Datos!AI13))
     ),IF(J_V="SI",(Datos!K13-Datos!U13)/Datos!U13,(Datos!K13+Datos!AA13-(Datos!U13+Datos!AI13))/(Datos!U13+Datos!AI13))," - ")</f>
        <v>-0.22444183313748531</v>
      </c>
      <c r="E13" s="854">
        <f>IF(ISNUMBER(
   IF(J_V="SI",(Datos!L13-Datos!V13)/Datos!V13,(Datos!L13+Datos!AB13-(Datos!V13+Datos!AJ13))/(Datos!V13+Datos!AJ13))
     ),IF(J_V="SI",(Datos!L13-Datos!V13)/Datos!V13,(Datos!L13+Datos!AB13-(Datos!V13+Datos!AJ13))/(Datos!V13+Datos!AJ13))," - ")</f>
        <v>-0.1925716592652402</v>
      </c>
      <c r="F13" s="855">
        <f>IF(ISNUMBER((Datos!M13-Datos!W13)/Datos!W13),(Datos!M13-Datos!W13)/Datos!W13," - ")</f>
        <v>-0.44339622641509435</v>
      </c>
      <c r="G13" s="856">
        <f>IF(ISNUMBER((Datos!N13-Datos!X13)/Datos!X13),(Datos!N13-Datos!X13)/Datos!X13," - ")</f>
        <v>-0.1317365269461078</v>
      </c>
      <c r="H13" s="856">
        <f>IF(ISNUMBER(((NºAsuntos!G13/NºAsuntos!E13)-Datos!BD13)/Datos!BD13),((NºAsuntos!G13/NºAsuntos!E13)-Datos!BD13)/Datos!BD13," - ")</f>
        <v>0.11680376028202122</v>
      </c>
      <c r="I13" s="856">
        <f>IF(ISNUMBER(((NºAsuntos!I13/NºAsuntos!G13)-Datos!BE13)/Datos!BE13),((NºAsuntos!I13/NºAsuntos!G13)-Datos!BE13)/Datos!BE13," - ")</f>
        <v>4.1093209038303928E-2</v>
      </c>
      <c r="J13" s="856">
        <f>IF(ISNUMBER((('Resol  Asuntos'!D13/NºAsuntos!G13)-Datos!BF13)/Datos!BF13),(('Resol  Asuntos'!D13/NºAsuntos!G13)-Datos!BF13)/Datos!BF13," - ")</f>
        <v>-0.54172143117926252</v>
      </c>
      <c r="K13" s="856">
        <f>IF(ISNUMBER((((NºAsuntos!C13+NºAsuntos!E13)/NºAsuntos!G13)-Datos!BG13)/Datos!BG13),(((NºAsuntos!C13+NºAsuntos!E13)/NºAsuntos!G13)-Datos!BG13)/Datos!BG13," - ")</f>
        <v>1.4130064691862464E-2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-8.0822924320352683E-3</v>
      </c>
      <c r="C16" s="455">
        <f>IF(ISNUMBER(
   IF(D_I="SI",(Datos!J16-Datos!T16)/Datos!T16,(Datos!J16+Datos!AD16-(Datos!T16+Datos!AL16))/(Datos!T16+Datos!AL16))
     ),IF(D_I="SI",(Datos!J16-Datos!T16)/Datos!T16,(Datos!J16+Datos!AD16-(Datos!T16+Datos!AL16))/(Datos!T16+Datos!AL16))," - ")</f>
        <v>5.4285714285714284E-2</v>
      </c>
      <c r="D16" s="455">
        <f>IF(ISNUMBER(
   IF(D_I="SI",(Datos!K16-Datos!U16)/Datos!U16,(Datos!K16+Datos!AE16-(Datos!U16+Datos!AM16))/(Datos!U16+Datos!AM16))
     ),IF(D_I="SI",(Datos!K16-Datos!U16)/Datos!U16,(Datos!K16+Datos!AE16-(Datos!U16+Datos!AM16))/(Datos!U16+Datos!AM16))," - ")</f>
        <v>-0.1375796178343949</v>
      </c>
      <c r="E16" s="455">
        <f>IF(ISNUMBER(
   IF(D_I="SI",(Datos!L16-Datos!V16)/Datos!V16,(Datos!L16+Datos!AF16-(Datos!V16+Datos!AN16))/(Datos!V16+Datos!AN16))
     ),IF(D_I="SI",(Datos!L16-Datos!V16)/Datos!V16,(Datos!L16+Datos!AF16-(Datos!V16+Datos!AN16))/(Datos!V16+Datos!AN16))," - ")</f>
        <v>9.6974398758727695E-2</v>
      </c>
      <c r="F16" s="455">
        <f>IF(ISNUMBER((Datos!M16-Datos!W16)/Datos!W16),(Datos!M16-Datos!W16)/Datos!W16," - ")</f>
        <v>-0.51388888888888884</v>
      </c>
      <c r="G16" s="456">
        <f>IF(ISNUMBER((Datos!N16-Datos!X16)/Datos!X16),(Datos!N16-Datos!X16)/Datos!X16," - ")</f>
        <v>1.2295081967213115E-2</v>
      </c>
      <c r="H16" s="454">
        <f>IF(ISNUMBER(((NºAsuntos!G16/NºAsuntos!E16)-Datos!BD16)/Datos!BD16),((NºAsuntos!G16/NºAsuntos!E16)-Datos!BD16)/Datos!BD16," - ")</f>
        <v>-0.18198608737679731</v>
      </c>
      <c r="I16" s="455">
        <f>IF(ISNUMBER(((NºAsuntos!I16/NºAsuntos!G16)-Datos!BE16)/Datos!BE16),((NºAsuntos!I16/NºAsuntos!G16)-Datos!BE16)/Datos!BE16," - ")</f>
        <v>0.27197179176602837</v>
      </c>
      <c r="J16" s="460">
        <f>IF(ISNUMBER((('Resol  Asuntos'!D16/NºAsuntos!G16)-Datos!BF16)/Datos!BF16),(('Resol  Asuntos'!D16/NºAsuntos!G16)-Datos!BF16)/Datos!BF16," - ")</f>
        <v>-0.43634088298046936</v>
      </c>
      <c r="K16" s="461">
        <f>IF(ISNUMBER((((NºAsuntos!C16+NºAsuntos!E16)/NºAsuntos!G16)-Datos!BG16)/Datos!BG16),(((NºAsuntos!C16+NºAsuntos!E16)/NºAsuntos!G16)-Datos!BG16)/Datos!BG16," - ")</f>
        <v>0.17471764076035418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6.25E-2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-6.3492063492063489E-2</v>
      </c>
      <c r="E17" s="455">
        <f>IF(ISNUMBER(
   IF(D_I="SI",(Datos!L17-Datos!V17)/Datos!V17,(Datos!L17+Datos!AF17-(Datos!V17+Datos!AN17))/(Datos!V17+Datos!AN17))
     ),IF(D_I="SI",(Datos!L17-Datos!V17)/Datos!V17,(Datos!L17+Datos!AF17-(Datos!V17+Datos!AN17))/(Datos!V17+Datos!AN17))," - ")</f>
        <v>5.4794520547945202E-2</v>
      </c>
      <c r="F17" s="455">
        <f>IF(ISNUMBER((Datos!M17-Datos!W17)/Datos!W17),(Datos!M17-Datos!W17)/Datos!W17," - ")</f>
        <v>-0.5</v>
      </c>
      <c r="G17" s="456">
        <f>IF(ISNUMBER((Datos!N17-Datos!X17)/Datos!X17),(Datos!N17-Datos!X17)/Datos!X17," - ")</f>
        <v>0.17948717948717949</v>
      </c>
      <c r="H17" s="454">
        <f>IF(ISNUMBER(((NºAsuntos!G17/NºAsuntos!E17)-Datos!BD17)/Datos!BD17),((NºAsuntos!G17/NºAsuntos!E17)-Datos!BD17)/Datos!BD17," - ")</f>
        <v>-6.3492063492063502E-2</v>
      </c>
      <c r="I17" s="455">
        <f>IF(ISNUMBER(((NºAsuntos!I17/NºAsuntos!G17)-Datos!BE17)/Datos!BE17),((NºAsuntos!I17/NºAsuntos!G17)-Datos!BE17)/Datos!BE17," - ")</f>
        <v>0.12630601346644993</v>
      </c>
      <c r="J17" s="460">
        <f>IF(ISNUMBER((('Resol  Asuntos'!D17/NºAsuntos!G17)-Datos!BF17)/Datos!BF17),(('Resol  Asuntos'!D17/NºAsuntos!G17)-Datos!BF17)/Datos!BF17," - ")</f>
        <v>-0.46610169491525422</v>
      </c>
      <c r="K17" s="461">
        <f>IF(ISNUMBER((((NºAsuntos!C17+NºAsuntos!E17)/NºAsuntos!G17)-Datos!BG17)/Datos!BG17),(((NºAsuntos!C17+NºAsuntos!E17)/NºAsuntos!G17)-Datos!BG17)/Datos!BG17," - ")</f>
        <v>0.10015408320493065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-4.9122807017543861E-3</v>
      </c>
      <c r="C18" s="854">
        <f>IF(ISNUMBER(
   IF(Criterios!B14="SI",(Datos!J18-Datos!T18)/Datos!T18,(Datos!J18+Datos!AD18-(Datos!T18+Datos!AL18))/(Datos!T18+Datos!AL18))
     ),IF(Criterios!B14="SI",(Datos!J18-Datos!T18)/Datos!T18,(Datos!J18+Datos!AD18-(Datos!T18+Datos!AL18))/(Datos!T18+Datos!AL18))," - ")</f>
        <v>4.9479166666666664E-2</v>
      </c>
      <c r="D18" s="854">
        <f>IF(ISNUMBER(
   IF(Criterios!B14="SI",(Datos!K18-Datos!U18)/Datos!U18,(Datos!K18+Datos!AE18-(Datos!U18+Datos!AM18))/(Datos!U18+Datos!AM18))
     ),IF(Criterios!B14="SI",(Datos!K18-Datos!U18)/Datos!U18,(Datos!K18+Datos!AE18-(Datos!U18+Datos!AM18))/(Datos!U18+Datos!AM18))," - ")</f>
        <v>-0.13207547169811321</v>
      </c>
      <c r="E18" s="854">
        <f>IF(ISNUMBER(
   IF(Criterios!B14="SI",(Datos!L18-Datos!V18)/Datos!V18,(Datos!L18+Datos!AF18-(Datos!V18+Datos!AN18))/(Datos!V18+Datos!AN18))
     ),IF(Criterios!B14="SI",(Datos!L18-Datos!V18)/Datos!V18,(Datos!L18+Datos!AF18-(Datos!V18+Datos!AN18))/(Datos!V18+Datos!AN18))," - ")</f>
        <v>9.4713656387665199E-2</v>
      </c>
      <c r="F18" s="855">
        <f>IF(ISNUMBER((Datos!M18-Datos!W18)/Datos!W18),(Datos!M18-Datos!W18)/Datos!W18," - ")</f>
        <v>-0.51351351351351349</v>
      </c>
      <c r="G18" s="856">
        <f>IF(ISNUMBER((Datos!N18-Datos!X18)/Datos!X18),(Datos!N18-Datos!X18)/Datos!X18," - ")</f>
        <v>2.4667931688804556E-2</v>
      </c>
      <c r="H18" s="856">
        <f>IF(ISNUMBER(((NºAsuntos!G18/NºAsuntos!E18)-Datos!BD18)/Datos!BD18),((NºAsuntos!G18/NºAsuntos!E18)-Datos!BD18)/Datos!BD18," - ")</f>
        <v>-0.17299499040217248</v>
      </c>
      <c r="I18" s="856">
        <f>IF(ISNUMBER(((NºAsuntos!I18/NºAsuntos!G18)-Datos!BE18)/Datos!BE18),((NºAsuntos!I18/NºAsuntos!G18)-Datos!BE18)/Datos!BE18," - ")</f>
        <v>0.26130051714230984</v>
      </c>
      <c r="J18" s="856">
        <f>IF(ISNUMBER((('Resol  Asuntos'!D18/NºAsuntos!G18)-Datos!BF18)/Datos!BF18),(('Resol  Asuntos'!D18/NºAsuntos!G18)-Datos!BF18)/Datos!BF18," - ")</f>
        <v>-0.43948296122209157</v>
      </c>
      <c r="K18" s="856">
        <f>IF(ISNUMBER((((NºAsuntos!C18+NºAsuntos!E18)/NºAsuntos!G18)-Datos!BG18)/Datos!BG18),(((NºAsuntos!C18+NºAsuntos!E18)/NºAsuntos!G18)-Datos!BG18)/Datos!BG18," - ")</f>
        <v>0.16846091318225978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-0.11793050976413898</v>
      </c>
      <c r="C19" s="801">
        <f>IF(ISNUMBER(
   IF(J_V="SI",(Datos!J19-Datos!T19)/Datos!T19,(Datos!J19+Datos!Z19-(Datos!T19+Datos!AH19))/(Datos!T19+Datos!AH19))
     ),IF(J_V="SI",(Datos!J19-Datos!T19)/Datos!T19,(Datos!J19+Datos!Z19-(Datos!T19+Datos!AH19))/(Datos!T19+Datos!AH19))," - ")</f>
        <v>-0.13848039215686275</v>
      </c>
      <c r="D19" s="801">
        <f>IF(ISNUMBER(
   IF(J_V="SI",(Datos!K19-Datos!U19)/Datos!U19,(Datos!K19+Datos!AA19-(Datos!U19+Datos!AI19))/(Datos!U19+Datos!AI19))
     ),IF(J_V="SI",(Datos!K19-Datos!U19)/Datos!U19,(Datos!K19+Datos!AA19-(Datos!U19+Datos!AI19))/(Datos!U19+Datos!AI19))," - ")</f>
        <v>-0.17834020011771631</v>
      </c>
      <c r="E19" s="801">
        <f>IF(ISNUMBER(
   IF(J_V="SI",(Datos!L19-Datos!V19)/Datos!V19,(Datos!L19+Datos!AB19-(Datos!V19+Datos!AJ19))/(Datos!V19+Datos!AJ19))
     ),IF(J_V="SI",(Datos!L19-Datos!V19)/Datos!V19,(Datos!L19+Datos!AB19-(Datos!V19+Datos!AJ19))/(Datos!V19+Datos!AJ19))," - ")</f>
        <v>-9.0648606407918733E-2</v>
      </c>
      <c r="F19" s="802">
        <f>IF(ISNUMBER((Datos!M19-Datos!W19)/Datos!W19),(Datos!M19-Datos!W19)/Datos!W19," - ")</f>
        <v>-0.47222222222222221</v>
      </c>
      <c r="G19" s="803">
        <f>IF(ISNUMBER((Datos!N19-Datos!X19)/Datos!X19),(Datos!N19-Datos!X19)/Datos!X19," - ")</f>
        <v>-3.6004645760743324E-2</v>
      </c>
      <c r="H19" s="804">
        <f>IF(ISNUMBER((Tasas!B19-Datos!BD19)/Datos!BD19),(Tasas!B19-Datos!BD19)/Datos!BD19," - ")</f>
        <v>-4.6266861018572497E-2</v>
      </c>
      <c r="I19" s="805">
        <f>IF(ISNUMBER((Tasas!C19-Datos!BE19)/Datos!BE19),(Tasas!C19-Datos!BE19)/Datos!BE19," - ")</f>
        <v>0.1067249410551188</v>
      </c>
      <c r="J19" s="806">
        <f>IF(ISNUMBER((Tasas!D19-Datos!BF19)/Datos!BF19),(Tasas!D19-Datos!BF19)/Datos!BF19," - ")</f>
        <v>-0.51825155205348605</v>
      </c>
      <c r="K19" s="806">
        <f>IF(ISNUMBER((Tasas!E19-Datos!BG19)/Datos!BG19),(Tasas!E19-Datos!BG19)/Datos!BG19," - ")</f>
        <v>6.6200161897541993E-2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vbvmU6lj7qxkzMhIbcioMeamo7rarTkinF+O4UF1pc7vyNvoNsFtNlzhYPxAOPtKK7JoXMs5jD27fDjFYm7Bg==" saltValue="7PCeyegqyHbFofPAvO1C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 FELIU DE GUIXOLS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5.833333333333333</v>
      </c>
      <c r="D10" s="443">
        <f>IF(ISNUMBER('Resol  Asuntos'!D10/NºAsuntos!G10),'Resol  Asuntos'!D10/NºAsuntos!G10," - ")</f>
        <v>0.16666666666666666</v>
      </c>
      <c r="E10" s="444">
        <f>IF(ISNUMBER((NºAsuntos!C10+NºAsuntos!E10)/NºAsuntos!G10),(NºAsuntos!C10+NºAsuntos!E10)/NºAsuntos!G10," - ")</f>
        <v>6.833333333333333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1.1084745762711865</v>
      </c>
      <c r="C12" s="442">
        <f>IF(ISNUMBER(NºAsuntos!I12/NºAsuntos!G12),NºAsuntos!I12/NºAsuntos!G12," - ")</f>
        <v>3.0045871559633026</v>
      </c>
      <c r="D12" s="443">
        <f>IF(ISNUMBER('Resol  Asuntos'!D12/NºAsuntos!G12),'Resol  Asuntos'!D12/NºAsuntos!G12," - ")</f>
        <v>0.17889908256880735</v>
      </c>
      <c r="E12" s="444">
        <f>IF(ISNUMBER((NºAsuntos!C12+NºAsuntos!E12)/NºAsuntos!G12),(NºAsuntos!C12+NºAsuntos!E12)/NºAsuntos!G12," - ")</f>
        <v>4.0045871559633026</v>
      </c>
      <c r="G12" s="462"/>
    </row>
    <row r="13" spans="1:7" ht="14.25" thickTop="1" thickBot="1">
      <c r="A13" s="847" t="str">
        <f>Datos!A13</f>
        <v>TOTAL</v>
      </c>
      <c r="B13" s="857">
        <f>IF(ISNUMBER(NºAsuntos!G13/NºAsuntos!E13),NºAsuntos!G13/NºAsuntos!E13," - ")</f>
        <v>1.1000000000000001</v>
      </c>
      <c r="C13" s="858">
        <f>IF(ISNUMBER(NºAsuntos!I13/NºAsuntos!G13),NºAsuntos!I13/NºAsuntos!G13," - ")</f>
        <v>3.0303030303030303</v>
      </c>
      <c r="D13" s="859">
        <f>IF(ISNUMBER('Resol  Asuntos'!D13/NºAsuntos!G13),'Resol  Asuntos'!D13/NºAsuntos!G13," - ")</f>
        <v>0.1787878787878788</v>
      </c>
      <c r="E13" s="860">
        <f>IF(ISNUMBER((NºAsuntos!C13+NºAsuntos!E13)/NºAsuntos!G13),(NºAsuntos!C13+NºAsuntos!E13)/NºAsuntos!G13," - ")</f>
        <v>4.0303030303030303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0.91734417344173447</v>
      </c>
      <c r="C16" s="442">
        <f>IF(ISNUMBER(NºAsuntos!I16/NºAsuntos!G16),NºAsuntos!I16/NºAsuntos!G16," - ")</f>
        <v>2.0886262924667651</v>
      </c>
      <c r="D16" s="443">
        <f>IF(ISNUMBER('Resol  Asuntos'!D16/NºAsuntos!G16),'Resol  Asuntos'!D16/NºAsuntos!G16," - ")</f>
        <v>0.103397341211226</v>
      </c>
      <c r="E16" s="444">
        <f>IF(ISNUMBER((NºAsuntos!C16+NºAsuntos!E16)/NºAsuntos!G16),(NºAsuntos!C16+NºAsuntos!E16)/NºAsuntos!G16," - ")</f>
        <v>3.0841949778434268</v>
      </c>
      <c r="G16" s="462"/>
    </row>
    <row r="17" spans="1:7" ht="21.75" thickBot="1">
      <c r="A17" s="401" t="str">
        <f>Datos!A17</f>
        <v>Jdos. Violencia contra la mujer/Secc Viol. TI.</v>
      </c>
      <c r="B17" s="441">
        <f>IF(ISNUMBER(NºAsuntos!G17/NºAsuntos!E17),NºAsuntos!G17/NºAsuntos!E17," - ")</f>
        <v>0.86764705882352944</v>
      </c>
      <c r="C17" s="442">
        <f>IF(ISNUMBER(NºAsuntos!I17/NºAsuntos!G17),NºAsuntos!I17/NºAsuntos!G17," - ")</f>
        <v>1.3050847457627119</v>
      </c>
      <c r="D17" s="443">
        <f>IF(ISNUMBER('Resol  Asuntos'!D17/NºAsuntos!G17),'Resol  Asuntos'!D17/NºAsuntos!G17," - ")</f>
        <v>3.3898305084745763E-2</v>
      </c>
      <c r="E17" s="444">
        <f>IF(ISNUMBER((NºAsuntos!C17+NºAsuntos!E17)/NºAsuntos!G17),(NºAsuntos!C17+NºAsuntos!E17)/NºAsuntos!G17," - ")</f>
        <v>2.3050847457627119</v>
      </c>
      <c r="G17" s="462"/>
    </row>
    <row r="18" spans="1:7" ht="14.25" thickTop="1" thickBot="1">
      <c r="A18" s="847" t="str">
        <f>Datos!A18</f>
        <v>TOTAL</v>
      </c>
      <c r="B18" s="857">
        <f>IF(ISNUMBER(NºAsuntos!G18/NºAsuntos!E18),NºAsuntos!G18/NºAsuntos!E18," - ")</f>
        <v>0.91315136476426795</v>
      </c>
      <c r="C18" s="858">
        <f>IF(ISNUMBER(NºAsuntos!I18/NºAsuntos!G18),NºAsuntos!I18/NºAsuntos!G18," - ")</f>
        <v>2.0258152173913042</v>
      </c>
      <c r="D18" s="861">
        <f>IF(ISNUMBER('Resol  Asuntos'!D18/NºAsuntos!G18),'Resol  Asuntos'!D18/NºAsuntos!G18," - ")</f>
        <v>9.7826086956521743E-2</v>
      </c>
      <c r="E18" s="860">
        <f>IF(ISNUMBER((NºAsuntos!C18+NºAsuntos!E18)/NºAsuntos!G18),(NºAsuntos!C18+NºAsuntos!E18)/NºAsuntos!G18," - ")</f>
        <v>3.0217391304347827</v>
      </c>
      <c r="G18" s="462"/>
    </row>
    <row r="19" spans="1:7" ht="15.75" customHeight="1" thickTop="1" thickBot="1">
      <c r="A19" s="792" t="str">
        <f>Datos!A19</f>
        <v>TOTAL JURISDICCIONES</v>
      </c>
      <c r="B19" s="807">
        <f>IF(ISNUMBER(NºAsuntos!G19/NºAsuntos!E19),NºAsuntos!G19/NºAsuntos!E19," - ")</f>
        <v>0.99288762446657186</v>
      </c>
      <c r="C19" s="808">
        <f>IF(ISNUMBER(NºAsuntos!I19/NºAsuntos!G19),NºAsuntos!I19/NºAsuntos!G19," - ")</f>
        <v>2.5007163323782233</v>
      </c>
      <c r="D19" s="809">
        <f>IF(ISNUMBER('Resol  Asuntos'!D19/NºAsuntos!G19),'Resol  Asuntos'!D19/NºAsuntos!G19," - ")</f>
        <v>0.13610315186246419</v>
      </c>
      <c r="E19" s="810">
        <f>IF(ISNUMBER((NºAsuntos!C19+NºAsuntos!E19)/NºAsuntos!G19),(NºAsuntos!C19+NºAsuntos!E19)/NºAsuntos!G19," - ")</f>
        <v>3.4985673352435529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u+Yhl7ifAyOJsiyQL2WsOCr921RWa3HG1r8aP1lHgz88Go8/LKOwOTp9uizBkiEUcxA79cktOIv63DN0Mb58w==" saltValue="Xnu/Y0Q6n/Sl6P/PmCQW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 FELIU DE GUIXOLS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35</v>
      </c>
      <c r="AB10" s="333">
        <f>IF(ISNUMBER(Datos!R10),Datos!R10," - ")</f>
        <v>21</v>
      </c>
      <c r="AC10" s="333">
        <f t="shared" ref="AC10:AC12" si="1">IF(ISNUMBER(AA10+AB10),AA10+AB10," - ")</f>
        <v>56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17.499999999999996</v>
      </c>
      <c r="AN10" s="243">
        <f>IF(ISNUMBER('Resol  Asuntos'!D10/NºAsuntos!G10),'Resol  Asuntos'!D10/NºAsuntos!G10," - ")</f>
        <v>0.16666666666666666</v>
      </c>
      <c r="AO10" s="244">
        <f>IF(ISNUMBER((NºAsuntos!C10+NºAsuntos!E10)/NºAsuntos!G10),(NºAsuntos!C10+NºAsuntos!E10)/NºAsuntos!G10," - ")</f>
        <v>6.833333333333333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591</v>
      </c>
      <c r="Y12" s="333">
        <f t="shared" si="0"/>
        <v>591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117</v>
      </c>
      <c r="AJ12" s="228" t="str">
        <f>IF(ISNUMBER(Datos!BW12),Datos!BW12," - ")</f>
        <v xml:space="preserve"> - </v>
      </c>
      <c r="AK12" s="227" t="str">
        <f>IF(ISNUMBER(Datos!BX12),Datos!BX12," - ")</f>
        <v xml:space="preserve"> - </v>
      </c>
      <c r="AL12" s="242">
        <f>IF(ISNUMBER(NºAsuntos!G12/NºAsuntos!E12),NºAsuntos!G12/NºAsuntos!E12," - ")</f>
        <v>1.1084745762711865</v>
      </c>
      <c r="AM12" s="259">
        <f>IF(ISNUMBER(((NºAsuntos!I12/NºAsuntos!G12)*11)/factor_trimestre),((NºAsuntos!I12/NºAsuntos!G12)*11)/factor_trimestre," - ")</f>
        <v>9.0137614678899087</v>
      </c>
      <c r="AN12" s="243">
        <f>IF(ISNUMBER('Resol  Asuntos'!D12/NºAsuntos!G12),'Resol  Asuntos'!D12/NºAsuntos!G12," - ")</f>
        <v>0.17889908256880735</v>
      </c>
      <c r="AO12" s="244">
        <f>IF(ISNUMBER((NºAsuntos!C12+NºAsuntos!E12)/NºAsuntos!G12),(NºAsuntos!C12+NºAsuntos!E12)/NºAsuntos!G12," - ")</f>
        <v>4.0045871559633026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31</v>
      </c>
      <c r="G13" s="865">
        <f t="shared" si="3"/>
        <v>31</v>
      </c>
      <c r="H13" s="864">
        <f t="shared" si="3"/>
        <v>0</v>
      </c>
      <c r="I13" s="866">
        <f t="shared" si="3"/>
        <v>0</v>
      </c>
      <c r="J13" s="866">
        <f t="shared" si="3"/>
        <v>0</v>
      </c>
      <c r="K13" s="866">
        <f t="shared" si="3"/>
        <v>0</v>
      </c>
      <c r="L13" s="866">
        <f t="shared" si="3"/>
        <v>365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592</v>
      </c>
      <c r="Y13" s="867">
        <f t="shared" si="4"/>
        <v>598</v>
      </c>
      <c r="Z13" s="867">
        <f t="shared" si="4"/>
        <v>0</v>
      </c>
      <c r="AA13" s="867">
        <f t="shared" si="4"/>
        <v>35</v>
      </c>
      <c r="AB13" s="867">
        <f t="shared" si="4"/>
        <v>3211</v>
      </c>
      <c r="AC13" s="867">
        <f t="shared" si="4"/>
        <v>56</v>
      </c>
      <c r="AD13" s="867">
        <f t="shared" si="4"/>
        <v>0</v>
      </c>
      <c r="AE13" s="871">
        <f t="shared" si="4"/>
        <v>0</v>
      </c>
      <c r="AF13" s="864">
        <f t="shared" si="4"/>
        <v>0</v>
      </c>
      <c r="AG13" s="872">
        <f t="shared" si="4"/>
        <v>0</v>
      </c>
      <c r="AH13" s="869">
        <f t="shared" si="4"/>
        <v>0</v>
      </c>
      <c r="AI13" s="864">
        <f t="shared" si="4"/>
        <v>118</v>
      </c>
      <c r="AJ13" s="866">
        <f t="shared" si="4"/>
        <v>0</v>
      </c>
      <c r="AK13" s="869">
        <f>SUBTOTAL(9,AK9:AK12)</f>
        <v>0</v>
      </c>
      <c r="AL13" s="873">
        <f>IF(ISNUMBER(NºAsuntos!G13/NºAsuntos!E13),NºAsuntos!G13/NºAsuntos!E13," - ")</f>
        <v>1.1000000000000001</v>
      </c>
      <c r="AM13" s="873">
        <f>IF(ISNUMBER(((NºAsuntos!I13/NºAsuntos!G13)*11)/factor_trimestre),((NºAsuntos!I13/NºAsuntos!G13)*11)/factor_trimestre," - ")</f>
        <v>9.0909090909090917</v>
      </c>
      <c r="AN13" s="874">
        <f>IF(ISNUMBER('Resol  Asuntos'!D13/NºAsuntos!G13),'Resol  Asuntos'!D13/NºAsuntos!G13," - ")</f>
        <v>0.1787878787878788</v>
      </c>
      <c r="AO13" s="875">
        <f>IF(ISNUMBER((NºAsuntos!C13+NºAsuntos!E13)/NºAsuntos!G13),(NºAsuntos!C13+NºAsuntos!E13)/NºAsuntos!G13," - ")</f>
        <v>4.0303030303030303</v>
      </c>
      <c r="AP13" s="876" t="str">
        <f t="shared" si="2"/>
        <v xml:space="preserve"> - </v>
      </c>
      <c r="AQ13" s="876">
        <f>IF(ISNUMBER((H13-W13+K13)/(F13)),(H13-W13+K13)/(F13)," - ")</f>
        <v>-0.19354838709677419</v>
      </c>
      <c r="AR13" s="877">
        <f>IF(ISNUMBER((Datos!P13-Datos!Q13)/(Datos!R13-Datos!P13+Datos!Q13)),(Datos!P13-Datos!Q13)/(Datos!R13-Datos!P13+Datos!Q13)," - ")</f>
        <v>-6.6026759744037225E-2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1353</v>
      </c>
      <c r="G16" s="332">
        <f>IF(ISNUMBER(IF(D_I="SI",Datos!I16,Datos!I16+Datos!AC16)),IF(D_I="SI",Datos!I16,Datos!I16+Datos!AC16)," - ")</f>
        <v>1350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677</v>
      </c>
      <c r="X16" s="225">
        <f>IF(ISNUMBER(Datos!Q16),Datos!Q16," - ")</f>
        <v>33</v>
      </c>
      <c r="Y16" s="333">
        <f t="shared" ref="Y16:Y17" si="7">SUM(W16:X16)</f>
        <v>710</v>
      </c>
      <c r="Z16" s="334" t="str">
        <f>IF(ISNUMBER(Datos!CC16),Datos!CC16," - ")</f>
        <v xml:space="preserve"> - </v>
      </c>
      <c r="AA16" s="331">
        <f>IF(ISNUMBER(IF(D_I="SI",Datos!L16,Datos!L16+Datos!AF16)),IF(D_I="SI",Datos!L16,Datos!L16+Datos!AF16)," - ")</f>
        <v>1414</v>
      </c>
      <c r="AB16" s="333">
        <f>IF(ISNUMBER(Datos!R16),Datos!R16," - ")</f>
        <v>94</v>
      </c>
      <c r="AC16" s="333">
        <f t="shared" si="6"/>
        <v>1508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70</v>
      </c>
      <c r="AJ16" s="230" t="str">
        <f>IF(ISNUMBER(Datos!BW16),Datos!BW16," - ")</f>
        <v xml:space="preserve"> - </v>
      </c>
      <c r="AK16" s="231" t="str">
        <f>IF(ISNUMBER(Datos!BX16),Datos!BX16," - ")</f>
        <v xml:space="preserve"> - </v>
      </c>
      <c r="AL16" s="242">
        <f>IF(ISNUMBER(NºAsuntos!G16/NºAsuntos!E16),NºAsuntos!G16/NºAsuntos!E16," - ")</f>
        <v>0.91734417344173447</v>
      </c>
      <c r="AM16" s="259">
        <f>IF(ISNUMBER(((NºAsuntos!I16/NºAsuntos!G16)*11)/factor_trimestre),((NºAsuntos!I16/NºAsuntos!G16)*11)/factor_trimestre," - ")</f>
        <v>6.2658788774002963</v>
      </c>
      <c r="AN16" s="243">
        <f>IF(ISNUMBER('Resol  Asuntos'!D16/NºAsuntos!G16),'Resol  Asuntos'!D16/NºAsuntos!G16," - ")</f>
        <v>0.103397341211226</v>
      </c>
      <c r="AO16" s="244">
        <f>IF(ISNUMBER((NºAsuntos!C16+NºAsuntos!E16)/NºAsuntos!G16),(NºAsuntos!C16+NºAsuntos!E16)/NºAsuntos!G16," - ")</f>
        <v>3.0841949778434268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v>
      </c>
      <c r="X17" s="225">
        <f>IF(ISNUMBER(Datos!Q17),Datos!Q17," - ")</f>
        <v>0</v>
      </c>
      <c r="Y17" s="333">
        <f t="shared" si="7"/>
        <v>59</v>
      </c>
      <c r="Z17" s="334" t="str">
        <f>IF(ISNUMBER(Datos!CC17),Datos!CC17," - ")</f>
        <v xml:space="preserve"> - </v>
      </c>
      <c r="AA17" s="331">
        <f>IF(ISNUMBER(Datos!L17),Datos!L17,"-")</f>
        <v>77</v>
      </c>
      <c r="AB17" s="333">
        <f>IF(ISNUMBER(Datos!R17),Datos!R17," - ")</f>
        <v>3</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0.86764705882352944</v>
      </c>
      <c r="AM17" s="259">
        <f>IF(ISNUMBER(((NºAsuntos!I17/NºAsuntos!G17)*11)/factor_trimestre),((NºAsuntos!I17/NºAsuntos!G17)*11)/factor_trimestre," - ")</f>
        <v>3.9152542372881358</v>
      </c>
      <c r="AN17" s="243">
        <f>IF(ISNUMBER('Resol  Asuntos'!D17/NºAsuntos!G17),'Resol  Asuntos'!D17/NºAsuntos!G17," - ")</f>
        <v>3.3898305084745763E-2</v>
      </c>
      <c r="AO17" s="244">
        <f>IF(ISNUMBER((NºAsuntos!C17+NºAsuntos!E17)/NºAsuntos!G17),(NºAsuntos!C17+NºAsuntos!E17)/NºAsuntos!G17," - ")</f>
        <v>2.3050847457627119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1353</v>
      </c>
      <c r="G18" s="865">
        <f>SUBTOTAL(9,G15:G17)</f>
        <v>1418</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736</v>
      </c>
      <c r="X18" s="866">
        <f t="shared" si="11"/>
        <v>33</v>
      </c>
      <c r="Y18" s="867">
        <f t="shared" si="11"/>
        <v>769</v>
      </c>
      <c r="Z18" s="867">
        <f t="shared" si="11"/>
        <v>0</v>
      </c>
      <c r="AA18" s="867">
        <f t="shared" si="11"/>
        <v>1491</v>
      </c>
      <c r="AB18" s="867">
        <f t="shared" si="11"/>
        <v>97</v>
      </c>
      <c r="AC18" s="867">
        <f t="shared" si="11"/>
        <v>1588</v>
      </c>
      <c r="AD18" s="867">
        <f t="shared" si="11"/>
        <v>0</v>
      </c>
      <c r="AE18" s="871">
        <f t="shared" si="11"/>
        <v>0</v>
      </c>
      <c r="AF18" s="864">
        <f t="shared" si="11"/>
        <v>0</v>
      </c>
      <c r="AG18" s="872">
        <f t="shared" si="11"/>
        <v>0</v>
      </c>
      <c r="AH18" s="869">
        <f t="shared" si="11"/>
        <v>0</v>
      </c>
      <c r="AI18" s="864">
        <f t="shared" si="11"/>
        <v>72</v>
      </c>
      <c r="AJ18" s="866">
        <f t="shared" si="11"/>
        <v>0</v>
      </c>
      <c r="AK18" s="869">
        <f t="shared" si="11"/>
        <v>0</v>
      </c>
      <c r="AL18" s="873">
        <f>IF(ISNUMBER(NºAsuntos!G18/NºAsuntos!E18),NºAsuntos!G18/NºAsuntos!E18," - ")</f>
        <v>0.91315136476426795</v>
      </c>
      <c r="AM18" s="873">
        <f>IF(ISNUMBER(((NºAsuntos!I18/NºAsuntos!G18)*11)/factor_trimestre),((NºAsuntos!I18/NºAsuntos!G18)*11)/factor_trimestre," - ")</f>
        <v>6.0774456521739131</v>
      </c>
      <c r="AN18" s="874">
        <f>IF(ISNUMBER('Resol  Asuntos'!D18/NºAsuntos!G18),'Resol  Asuntos'!D18/NºAsuntos!G18," - ")</f>
        <v>9.7826086956521743E-2</v>
      </c>
      <c r="AO18" s="875">
        <f>IF(ISNUMBER((NºAsuntos!C18+NºAsuntos!E18)/NºAsuntos!G18),(NºAsuntos!C18+NºAsuntos!E18)/NºAsuntos!G18," - ")</f>
        <v>3.0217391304347827</v>
      </c>
      <c r="AP18" s="876" t="str">
        <f t="shared" si="2"/>
        <v xml:space="preserve"> - </v>
      </c>
      <c r="AQ18" s="876">
        <f>IF(ISNUMBER((H18-W18+K18)/(F18)),(H18-W18+K18)/(F18)," - ")</f>
        <v>-0.54397634885439761</v>
      </c>
      <c r="AR18" s="877">
        <f>IF(ISNUMBER((Datos!P18-Datos!Q18)/(Datos!R18-Datos!P18+Datos!Q18)),(Datos!P18-Datos!Q18)/(Datos!R18-Datos!P18+Datos!Q18)," - ")</f>
        <v>-0.14912280701754385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1384</v>
      </c>
      <c r="G19" s="820">
        <f t="shared" si="13"/>
        <v>1449</v>
      </c>
      <c r="H19" s="819">
        <f t="shared" si="13"/>
        <v>0</v>
      </c>
      <c r="I19" s="821">
        <f t="shared" si="13"/>
        <v>0</v>
      </c>
      <c r="J19" s="821">
        <f t="shared" si="13"/>
        <v>0</v>
      </c>
      <c r="K19" s="880">
        <f t="shared" si="13"/>
        <v>0</v>
      </c>
      <c r="L19" s="821">
        <f t="shared" si="13"/>
        <v>381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742</v>
      </c>
      <c r="X19" s="820">
        <f t="shared" si="14"/>
        <v>625</v>
      </c>
      <c r="Y19" s="827">
        <f t="shared" si="14"/>
        <v>1367</v>
      </c>
      <c r="Z19" s="827">
        <f t="shared" si="14"/>
        <v>0</v>
      </c>
      <c r="AA19" s="827">
        <f t="shared" si="14"/>
        <v>1526</v>
      </c>
      <c r="AB19" s="827">
        <f t="shared" si="14"/>
        <v>3308</v>
      </c>
      <c r="AC19" s="827">
        <f t="shared" si="14"/>
        <v>1644</v>
      </c>
      <c r="AD19" s="827">
        <f t="shared" si="14"/>
        <v>0</v>
      </c>
      <c r="AE19" s="829">
        <f t="shared" si="14"/>
        <v>0</v>
      </c>
      <c r="AF19" s="830">
        <f t="shared" si="14"/>
        <v>0</v>
      </c>
      <c r="AG19" s="831">
        <f t="shared" si="14"/>
        <v>0</v>
      </c>
      <c r="AH19" s="829">
        <f t="shared" si="14"/>
        <v>0</v>
      </c>
      <c r="AI19" s="819">
        <f t="shared" si="14"/>
        <v>190</v>
      </c>
      <c r="AJ19" s="819">
        <f t="shared" si="14"/>
        <v>0</v>
      </c>
      <c r="AK19" s="829">
        <f t="shared" si="14"/>
        <v>0</v>
      </c>
      <c r="AL19" s="883">
        <f>IF(ISNUMBER(NºAsuntos!G19/NºAsuntos!E19),NºAsuntos!G19/NºAsuntos!E19," - ")</f>
        <v>0.99288762446657186</v>
      </c>
      <c r="AM19" s="884">
        <f>IF(ISNUMBER(((NºAsuntos!I19/NºAsuntos!G19)*11)/factor_trimestre),((NºAsuntos!I19/NºAsuntos!G19)*11)/factor_trimestre," - ")</f>
        <v>7.50214899713467</v>
      </c>
      <c r="AN19" s="884">
        <f>IF(ISNUMBER('Resol  Asuntos'!D19/NºAsuntos!G19),'Resol  Asuntos'!D19/NºAsuntos!G19," - ")</f>
        <v>0.13610315186246419</v>
      </c>
      <c r="AO19" s="885">
        <f>IF(ISNUMBER((NºAsuntos!C19+NºAsuntos!E19)/NºAsuntos!G19),(NºAsuntos!C19+NºAsuntos!E19)/NºAsuntos!G19," - ")</f>
        <v>3.4985673352435529</v>
      </c>
      <c r="AP19" s="886" t="str">
        <f t="shared" si="2"/>
        <v xml:space="preserve"> - </v>
      </c>
      <c r="AQ19" s="887">
        <f>IF(OR(ISNUMBER(FIND("01",Criterios!A8,1)),ISNUMBER(FIND("02",Criterios!A8,1)),ISNUMBER(FIND("03",Criterios!A8,1)),ISNUMBER(FIND("04",Criterios!A8,1))),(I19-W19+K19)/(F19-K19),(H19-W19+K19)/(F19-K19))</f>
        <v>-0.53612716763005785</v>
      </c>
      <c r="AR19" s="888">
        <f>IF(ISNUMBER((Datos!P19-Datos!Q19)/(Datos!R19-Datos!P19+Datos!Q19)),(Datos!P19-Datos!Q19)/(Datos!R19-Datos!P19+Datos!Q19)," - ")</f>
        <v>-6.86936936936937E-2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763.25705586868526</v>
      </c>
      <c r="G21" s="252">
        <f>IF(ISNUMBER(STDEV(G8:G18)),STDEV(G8:G18),"-")</f>
        <v>734.86209590643602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375.20887516155585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52.221323869341596</v>
      </c>
      <c r="AJ21" s="251">
        <f t="shared" si="18"/>
        <v>0</v>
      </c>
      <c r="AK21" s="253">
        <f t="shared" si="18"/>
        <v>0</v>
      </c>
      <c r="AL21" s="248">
        <f t="shared" si="18"/>
        <v>0.18605784238312548</v>
      </c>
      <c r="AM21" s="249">
        <f t="shared" si="18"/>
        <v>4.7616989608168172</v>
      </c>
      <c r="AN21" s="249">
        <f t="shared" si="18"/>
        <v>5.8350680553739161E-2</v>
      </c>
      <c r="AO21" s="250">
        <f t="shared" si="18"/>
        <v>1.5881162459975384</v>
      </c>
      <c r="AP21" s="290" t="str">
        <f t="shared" si="18"/>
        <v>-</v>
      </c>
      <c r="AQ21" s="291">
        <f t="shared" si="18"/>
        <v>0.24778998807619551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PXZXnAq2Jd/LBpT9gETR0pStshS8nY5J5cDsukdq/5fvoSXg4XbrH3IFNLLkEKK570ylvozo0VAwPwuln/CDQ==" saltValue="eaSUwYfo19v0GkGVxCaQ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 FELIU DE GUIXOLS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-3.125E-2</v>
      </c>
      <c r="E10" s="347">
        <f>IF(ISNUMBER((Datos!J10-Datos!T10)/Datos!T10),(Datos!J10-Datos!T10)/Datos!T10," - ")</f>
        <v>0.66666666666666663</v>
      </c>
      <c r="F10" s="347">
        <f>IF(ISNUMBER((Datos!K10-Datos!U10)/Datos!U10),(Datos!K10-Datos!U10)/Datos!U10," - ")</f>
        <v>-0.4</v>
      </c>
      <c r="G10" s="348">
        <f>IF(ISNUMBER((Datos!L10-Datos!V10)/Datos!V10),(Datos!L10-Datos!V10)/Datos!V10," - ")</f>
        <v>0.25</v>
      </c>
      <c r="H10" s="229">
        <f>IF(ISNUMBER((Datos!M10-Datos!W10)/Datos!W10),(Datos!M10-Datos!W10)/Datos!W10," - ")</f>
        <v>-0.75</v>
      </c>
      <c r="I10" s="349">
        <f>IF(ISNUMBER((Tasas!C10-Datos!BE10)/Datos!BE10),(Tasas!C10-Datos!BE10)/Datos!BE10," - ")</f>
        <v>1.0833333333333333</v>
      </c>
      <c r="J10" s="348">
        <f>IF(ISNUMBER((Tasas!D10-Datos!BF10)/Datos!BF10),(Tasas!D10-Datos!BF10)/Datos!BF10," - ")</f>
        <v>-0.58333333333333337</v>
      </c>
      <c r="K10" s="350">
        <f>IF(ISNUMBER((Tasas!E10-Datos!BG10)/Datos!BG10),(Tasas!E10-Datos!BG10)/Datos!BG10," - ")</f>
        <v>0.79824561403508776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-0.4375</v>
      </c>
      <c r="I12" s="349">
        <f>IF(ISNUMBER((Tasas!C12-Datos!BE12)/Datos!BE12),(Tasas!C12-Datos!BE12)/Datos!BE12," - ")</f>
        <v>3.1791669320186774E-2</v>
      </c>
      <c r="J12" s="348">
        <f>IF(ISNUMBER((Tasas!D12-Datos!BF12)/Datos!BF12),(Tasas!D12-Datos!BF12)/Datos!BF12," - ")</f>
        <v>-0.5412983889013202</v>
      </c>
      <c r="K12" s="350">
        <f>IF(ISNUMBER((Tasas!E12-Datos!BG12)/Datos!BG12),(Tasas!E12-Datos!BG12)/Datos!BG12," - ")</f>
        <v>7.13450902067507E-3</v>
      </c>
      <c r="M12" t="e">
        <f>IF(Monitorios="SI",Datos!CE12,0)</f>
        <v>#REF!</v>
      </c>
      <c r="N12" t="e">
        <f>IF(Monitorios="SI",Datos!CF12,0)</f>
        <v>#REF!</v>
      </c>
      <c r="O12" t="e">
        <f>IF(Monitorios="SI",Datos!CG12,0)</f>
        <v>#REF!</v>
      </c>
      <c r="P12" t="e">
        <f>IF(Monitorios="SI",Datos!CH12,0)</f>
        <v>#REF!</v>
      </c>
      <c r="Q12">
        <f>IF(J_V="SI",0,Datos!AG12)</f>
        <v>16</v>
      </c>
      <c r="R12">
        <f>IF(J_V="SI",0,Datos!AH12)</f>
        <v>29</v>
      </c>
      <c r="S12">
        <f>IF(J_V="SI",0,Datos!AI12)</f>
        <v>28</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-0.44339622641509435</v>
      </c>
      <c r="I13" s="356">
        <f>IF(ISNUMBER((Tasas!C13-Datos!BE13)/Datos!BE13),(Tasas!C13-Datos!BE13)/Datos!BE13," - ")</f>
        <v>4.1093209038303928E-2</v>
      </c>
      <c r="J13" s="354">
        <f>IF(ISNUMBER((Tasas!D13-Datos!BF13)/Datos!BF13),(Tasas!D13-Datos!BF13)/Datos!BF13," - ")</f>
        <v>-0.54172143117926252</v>
      </c>
      <c r="K13" s="357">
        <f>IF(ISNUMBER((Tasas!E13-Datos!BG13)/Datos!BG13),(Tasas!E13-Datos!BG13)/Datos!BG13," - ")</f>
        <v>1.4130064691862464E-2</v>
      </c>
      <c r="M13" t="e">
        <f>IF(Monitorios="SI",Datos!CE13,0)</f>
        <v>#REF!</v>
      </c>
      <c r="N13" t="e">
        <f>IF(Monitorios="SI",Datos!CF13,0)</f>
        <v>#REF!</v>
      </c>
      <c r="O13" t="e">
        <f>IF(Monitorios="SI",Datos!CG13,0)</f>
        <v>#REF!</v>
      </c>
      <c r="P13" t="e">
        <f>IF(Monitorios="SI",Datos!CH13,0)</f>
        <v>#REF!</v>
      </c>
      <c r="Q13">
        <f>IF(J_V="SI",0,Datos!AG13)</f>
        <v>16</v>
      </c>
      <c r="R13">
        <f>IF(J_V="SI",0,Datos!AH13)</f>
        <v>29</v>
      </c>
      <c r="S13">
        <f>IF(J_V="SI",0,Datos!AI13)</f>
        <v>28</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-8.0822924320352683E-3</v>
      </c>
      <c r="E16" s="347">
        <f>IF(ISNUMBER(
   IF(D_I="SI",(Datos!J16-Datos!T16)/Datos!T16,(Datos!J16+Datos!AD16-(Datos!T16+Datos!AL16))/(Datos!T16+Datos!AL16))
     ),IF(D_I="SI",(Datos!J16-Datos!T16)/Datos!T16,(Datos!J16+Datos!AD16-(Datos!T16+Datos!AL16))/(Datos!T16+Datos!AL16))," - ")</f>
        <v>5.4285714285714284E-2</v>
      </c>
      <c r="F16" s="347">
        <f>IF(ISNUMBER(
   IF(D_I="SI",(Datos!K16-Datos!U16)/Datos!U16,(Datos!K16+Datos!AE16-(Datos!U16+Datos!AM16))/(Datos!U16+Datos!AM16))
     ),IF(D_I="SI",(Datos!K16-Datos!U16)/Datos!U16,(Datos!K16+Datos!AE16-(Datos!U16+Datos!AM16))/(Datos!U16+Datos!AM16))," - ")</f>
        <v>-0.1375796178343949</v>
      </c>
      <c r="G16" s="348">
        <f>IF(ISNUMBER(
   IF(D_I="SI",(Datos!L16-Datos!V16)/Datos!V16,(Datos!L16+Datos!AF16-(Datos!V16+Datos!AN16))/(Datos!V16+Datos!AN16))
     ),IF(D_I="SI",(Datos!L16-Datos!V16)/Datos!V16,(Datos!L16+Datos!AF16-(Datos!V16+Datos!AN16))/(Datos!V16+Datos!AN16))," - ")</f>
        <v>9.6974398758727695E-2</v>
      </c>
      <c r="H16" s="229">
        <f>IF(ISNUMBER((Datos!M16-Datos!W16)/Datos!W16),(Datos!M16-Datos!W16)/Datos!W16," - ")</f>
        <v>-0.51388888888888884</v>
      </c>
      <c r="I16" s="349">
        <f>IF(ISNUMBER((Tasas!C16-Datos!BE16)/Datos!BE16),(Tasas!C16-Datos!BE16)/Datos!BE16," - ")</f>
        <v>0.27197179176602837</v>
      </c>
      <c r="J16" s="348">
        <f>IF(ISNUMBER((Tasas!D16-Datos!BF16)/Datos!BF16),(Tasas!D16-Datos!BF16)/Datos!BF16," - ")</f>
        <v>-0.43634088298046936</v>
      </c>
      <c r="K16" s="350">
        <f>IF(ISNUMBER((Tasas!E16-Datos!BG16)/Datos!BG16),(Tasas!E16-Datos!BG16)/Datos!BG16," - ")</f>
        <v>0.17471764076035418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6.25E-2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-6.3492063492063489E-2</v>
      </c>
      <c r="G17" s="348">
        <f>IF(ISNUMBER(
   IF(D_I="SI",(Datos!L17-Datos!V17)/Datos!V17,(Datos!L17+Datos!AF17-(Datos!V17+Datos!AN17))/(Datos!V17+Datos!AN17))
     ),IF(D_I="SI",(Datos!L17-Datos!V17)/Datos!V17,(Datos!L17+Datos!AF17-(Datos!V17+Datos!AN17))/(Datos!V17+Datos!AN17))," - ")</f>
        <v>5.4794520547945202E-2</v>
      </c>
      <c r="H17" s="229">
        <f>IF(ISNUMBER((Datos!M17-Datos!W17)/Datos!W17),(Datos!M17-Datos!W17)/Datos!W17," - ")</f>
        <v>-0.5</v>
      </c>
      <c r="I17" s="349">
        <f>IF(ISNUMBER((Tasas!C17-Datos!BE17)/Datos!BE17),(Tasas!C17-Datos!BE17)/Datos!BE17," - ")</f>
        <v>0.12630601346644993</v>
      </c>
      <c r="J17" s="348">
        <f>IF(ISNUMBER((Tasas!D17-Datos!BF17)/Datos!BF17),(Tasas!D17-Datos!BF17)/Datos!BF17," - ")</f>
        <v>-0.46610169491525422</v>
      </c>
      <c r="K17" s="350">
        <f>IF(ISNUMBER((Tasas!E17-Datos!BG17)/Datos!BG17),(Tasas!E17-Datos!BG17)/Datos!BG17," - ")</f>
        <v>0.10015408320493065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-4.9122807017543861E-3</v>
      </c>
      <c r="E18" s="353">
        <f>IF(ISNUMBER(
   IF(D_I="SI",(Datos!J18-Datos!T18)/Datos!T18,(Datos!J18+Datos!AD18-(Datos!T18+Datos!AL18))/(Datos!T18+Datos!AL18))
     ),IF(D_I="SI",(Datos!J18-Datos!T18)/Datos!T18,(Datos!J18+Datos!AD18-(Datos!T18+Datos!AL18))/(Datos!T18+Datos!AL18))," - ")</f>
        <v>4.9479166666666664E-2</v>
      </c>
      <c r="F18" s="353">
        <f>IF(ISNUMBER(
   IF(D_I="SI",(Datos!K18-Datos!U18)/Datos!U18,(Datos!K18+Datos!AE18-(Datos!U18+Datos!AM18))/(Datos!U18+Datos!AM18))
     ),IF(D_I="SI",(Datos!K18-Datos!U18)/Datos!U18,(Datos!K18+Datos!AE18-(Datos!U18+Datos!AM18))/(Datos!U18+Datos!AM18))," - ")</f>
        <v>-0.13207547169811321</v>
      </c>
      <c r="G18" s="354">
        <f>IF(ISNUMBER(
   IF(D_I="SI",(Datos!L18-Datos!V18)/Datos!V18,(Datos!L18+Datos!AF18-(Datos!V18+Datos!AN18))/(Datos!V18+Datos!AN18))
     ),IF(D_I="SI",(Datos!L18-Datos!V18)/Datos!V18,(Datos!L18+Datos!AF18-(Datos!V18+Datos!AN18))/(Datos!V18+Datos!AN18))," - ")</f>
        <v>9.4713656387665199E-2</v>
      </c>
      <c r="H18" s="355">
        <f>IF(ISNUMBER((Datos!M18-Datos!W18)/Datos!W18),(Datos!M18-Datos!W18)/Datos!W18," - ")</f>
        <v>-0.51351351351351349</v>
      </c>
      <c r="I18" s="356">
        <f>IF(ISNUMBER((Tasas!C18-Datos!BE18)/Datos!BE18),(Tasas!C18-Datos!BE18)/Datos!BE18," - ")</f>
        <v>0.26130051714230984</v>
      </c>
      <c r="J18" s="354">
        <f>IF(ISNUMBER((Tasas!D18-Datos!BF18)/Datos!BF18),(Tasas!D18-Datos!BF18)/Datos!BF18," - ")</f>
        <v>-0.43948296122209157</v>
      </c>
      <c r="K18" s="357">
        <f>IF(ISNUMBER((Tasas!E18-Datos!BG18)/Datos!BG18),(Tasas!E18-Datos!BG18)/Datos!BG18," - ")</f>
        <v>0.16846091318225978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-0.11793050976413898</v>
      </c>
      <c r="E19" s="362">
        <f>IF(ISNUMBER(
   IF(J_V="SI",(Datos!J19-Datos!T19)/Datos!T19,(Datos!J19+Datos!Z19-(Datos!T19+Datos!AH19))/(Datos!T19+Datos!AH19))
     ),IF(J_V="SI",(Datos!J19-Datos!T19)/Datos!T19,(Datos!J19+Datos!Z19-(Datos!T19+Datos!AH19))/(Datos!T19+Datos!AH19))," - ")</f>
        <v>-0.13848039215686275</v>
      </c>
      <c r="F19" s="362">
        <f>IF(ISNUMBER(
   IF(J_V="SI",(Datos!K19-Datos!U19)/Datos!U19,(Datos!K19+Datos!AA19-(Datos!U19+Datos!AI19))/(Datos!U19+Datos!AI19))
     ),IF(J_V="SI",(Datos!K19-Datos!U19)/Datos!U19,(Datos!K19+Datos!AA19-(Datos!U19+Datos!AI19))/(Datos!U19+Datos!AI19))," - ")</f>
        <v>-0.17834020011771631</v>
      </c>
      <c r="G19" s="363">
        <f>IF(ISNUMBER(
   IF(J_V="SI",(Datos!L19-Datos!V19)/Datos!V19,(Datos!L19+Datos!AB19-(Datos!V19+Datos!AJ19))/(Datos!V19+Datos!AJ19))
     ),IF(J_V="SI",(Datos!L19-Datos!V19)/Datos!V19,(Datos!L19+Datos!AB19-(Datos!V19+Datos!AJ19))/(Datos!V19+Datos!AJ19))," - ")</f>
        <v>-9.0648606407918733E-2</v>
      </c>
      <c r="H19" s="364">
        <f>IF(ISNUMBER((Datos!M19-Datos!W19)/Datos!W19),(Datos!M19-Datos!W19)/Datos!W19," - ")</f>
        <v>-0.47222222222222221</v>
      </c>
      <c r="I19" s="361">
        <f>IF(ISNUMBER((Tasas!C19-Datos!BE19)/Datos!BE19),(Tasas!C19-Datos!BE19)/Datos!BE19," - ")</f>
        <v>0.1067249410551188</v>
      </c>
      <c r="J19" s="362">
        <f>IF(ISNUMBER((Tasas!D19-Datos!BF19)/Datos!BF19),(Tasas!D19-Datos!BF19)/Datos!BF19," - ")</f>
        <v>-0.51825155205348605</v>
      </c>
      <c r="K19" s="363">
        <f>IF(ISNUMBER((Tasas!E19-Datos!BG19)/Datos!BG19),(Tasas!E19-Datos!BG19)/Datos!BG19," - ")</f>
        <v>6.6200161897541993E-2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4.0368929059087323E-2</v>
      </c>
      <c r="E21" s="277">
        <f t="shared" si="1"/>
        <v>0.31699020950302353</v>
      </c>
      <c r="F21" s="277">
        <f t="shared" si="1"/>
        <v>0.14835445909174064</v>
      </c>
      <c r="G21" s="278">
        <f t="shared" si="1"/>
        <v>8.6126676492624482E-2</v>
      </c>
      <c r="H21" s="284">
        <f t="shared" si="1"/>
        <v>0.11472518829956153</v>
      </c>
      <c r="I21" s="276">
        <f t="shared" si="1"/>
        <v>0.39622993050416322</v>
      </c>
      <c r="J21" s="277">
        <f t="shared" si="1"/>
        <v>6.2037322069918258E-2</v>
      </c>
      <c r="K21" s="278">
        <f t="shared" si="1"/>
        <v>0.2968459063288223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54y940DIQzL8CbAhCu2ZUZlCWvmvVPvqSTXmySPp+F46u7NbiDML3GNToaOHuPPZx61bCzEy5B8xYgNEzpk5w==" saltValue="kdTAKTQuzjNtr6ZRkrJi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